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68" windowWidth="12120" windowHeight="7620" tabRatio="778" activeTab="0"/>
  </bookViews>
  <sheets>
    <sheet name="PUMP 1" sheetId="1" r:id="rId1"/>
    <sheet name="PUMP 2" sheetId="2" r:id="rId2"/>
    <sheet name="PUMP 3" sheetId="3" r:id="rId3"/>
    <sheet name="PUMP 4" sheetId="4" r:id="rId4"/>
    <sheet name="PUMP 5" sheetId="5" r:id="rId5"/>
    <sheet name="PUMP 6" sheetId="6" r:id="rId6"/>
  </sheets>
  <definedNames>
    <definedName name="Abrasive" localSheetId="0">'PUMP 1'!$J$14</definedName>
    <definedName name="Abrasive" localSheetId="1">'PUMP 2'!$J$14</definedName>
    <definedName name="Abrasive" localSheetId="2">'PUMP 3'!$J$14</definedName>
    <definedName name="Abrasive" localSheetId="3">'PUMP 4'!$J$14</definedName>
    <definedName name="Abrasive" localSheetId="4">'PUMP 5'!$J$14</definedName>
    <definedName name="Abrasive" localSheetId="5">'PUMP 6'!$J$14</definedName>
    <definedName name="BP" localSheetId="0">'PUMP 1'!$J$11</definedName>
    <definedName name="BP" localSheetId="1">'PUMP 2'!$J$11</definedName>
    <definedName name="BP" localSheetId="2">'PUMP 3'!$J$11</definedName>
    <definedName name="BP" localSheetId="3">'PUMP 4'!$J$11</definedName>
    <definedName name="BP" localSheetId="4">'PUMP 5'!$J$11</definedName>
    <definedName name="BP" localSheetId="5">'PUMP 6'!$J$11</definedName>
    <definedName name="Capacity" localSheetId="0">'PUMP 1'!$H$8</definedName>
    <definedName name="Capacity" localSheetId="1">'PUMP 2'!$H$8</definedName>
    <definedName name="Capacity" localSheetId="2">'PUMP 3'!$H$8</definedName>
    <definedName name="Capacity" localSheetId="3">'PUMP 4'!$H$8</definedName>
    <definedName name="Capacity" localSheetId="4">'PUMP 5'!$H$8</definedName>
    <definedName name="Capacity" localSheetId="5">'PUMP 6'!$H$8</definedName>
    <definedName name="Corosion" localSheetId="0">'PUMP 1'!$J$15</definedName>
    <definedName name="Corosion" localSheetId="1">'PUMP 2'!$J$15</definedName>
    <definedName name="Corosion" localSheetId="2">'PUMP 3'!$J$15</definedName>
    <definedName name="Corosion" localSheetId="3">'PUMP 4'!$J$15</definedName>
    <definedName name="Corosion" localSheetId="4">'PUMP 5'!$J$15</definedName>
    <definedName name="Corosion" localSheetId="5">'PUMP 6'!$J$15</definedName>
    <definedName name="DischPipeNb" localSheetId="0">'PUMP 1'!$Q$21</definedName>
    <definedName name="DischPipeNb" localSheetId="1">'PUMP 2'!$Q$21</definedName>
    <definedName name="DischPipeNb" localSheetId="2">'PUMP 3'!$Q$21</definedName>
    <definedName name="DischPipeNb" localSheetId="3">'PUMP 4'!$Q$21</definedName>
    <definedName name="DischPipeNb" localSheetId="4">'PUMP 5'!$Q$21</definedName>
    <definedName name="DischPipeNb" localSheetId="5">'PUMP 6'!$Q$21</definedName>
    <definedName name="DischPipeTotalLg" localSheetId="0">'PUMP 1'!$Q$19</definedName>
    <definedName name="DischPipeTotalLg" localSheetId="1">'PUMP 2'!$Q$19</definedName>
    <definedName name="DischPipeTotalLg" localSheetId="2">'PUMP 3'!$Q$19</definedName>
    <definedName name="DischPipeTotalLg" localSheetId="3">'PUMP 4'!$Q$19</definedName>
    <definedName name="DischPipeTotalLg" localSheetId="4">'PUMP 5'!$Q$19</definedName>
    <definedName name="DischPipeTotalLg" localSheetId="5">'PUMP 6'!$Q$19</definedName>
    <definedName name="DischPulsVolume" localSheetId="0">'PUMP 1'!$O$25</definedName>
    <definedName name="DischPulsVolume" localSheetId="1">'PUMP 2'!$O$25</definedName>
    <definedName name="DischPulsVolume" localSheetId="2">'PUMP 3'!$O$25</definedName>
    <definedName name="DischPulsVolume" localSheetId="3">'PUMP 4'!$O$25</definedName>
    <definedName name="DischPulsVolume" localSheetId="4">'PUMP 5'!$O$25</definedName>
    <definedName name="DischPulsVolume" localSheetId="5">'PUMP 6'!$O$25</definedName>
    <definedName name="DischStHd" localSheetId="0">'PUMP 1'!$O$20</definedName>
    <definedName name="DischStHd" localSheetId="1">'PUMP 2'!$O$20</definedName>
    <definedName name="DischStHd" localSheetId="2">'PUMP 3'!$O$20</definedName>
    <definedName name="DischStHd" localSheetId="3">'PUMP 4'!$O$20</definedName>
    <definedName name="DischStHd" localSheetId="4">'PUMP 5'!$O$20</definedName>
    <definedName name="DischStHd" localSheetId="5">'PUMP 6'!$O$20</definedName>
    <definedName name="DischStrainer" localSheetId="0">'PUMP 1'!$Q$22</definedName>
    <definedName name="DischStrainer" localSheetId="1">'PUMP 2'!$Q$22</definedName>
    <definedName name="DischStrainer" localSheetId="2">'PUMP 3'!$Q$22</definedName>
    <definedName name="DischStrainer" localSheetId="3">'PUMP 4'!$Q$22</definedName>
    <definedName name="DischStrainer" localSheetId="4">'PUMP 5'!$Q$22</definedName>
    <definedName name="DischStrainer" localSheetId="5">'PUMP 6'!$Q$22</definedName>
    <definedName name="DischTnkPr" localSheetId="0">'PUMP 1'!$Q$18</definedName>
    <definedName name="DischTnkPr" localSheetId="1">'PUMP 2'!$Q$18</definedName>
    <definedName name="DischTnkPr" localSheetId="2">'PUMP 3'!$Q$18</definedName>
    <definedName name="DischTnkPr" localSheetId="3">'PUMP 4'!$Q$18</definedName>
    <definedName name="DischTnkPr" localSheetId="4">'PUMP 5'!$Q$18</definedName>
    <definedName name="DischTnkPr" localSheetId="5">'PUMP 6'!$Q$18</definedName>
    <definedName name="Liquid" localSheetId="0">'PUMP 1'!$B$11</definedName>
    <definedName name="Liquid" localSheetId="1">'PUMP 2'!$B$11</definedName>
    <definedName name="Liquid" localSheetId="2">'PUMP 3'!$B$11</definedName>
    <definedName name="Liquid" localSheetId="3">'PUMP 4'!$B$11</definedName>
    <definedName name="Liquid" localSheetId="4">'PUMP 5'!$B$11</definedName>
    <definedName name="Liquid" localSheetId="5">'PUMP 6'!$B$11</definedName>
    <definedName name="MOC" localSheetId="0">'PUMP 1'!$P$8</definedName>
    <definedName name="MOC" localSheetId="1">'PUMP 2'!$P$8</definedName>
    <definedName name="MOC" localSheetId="2">'PUMP 3'!$P$8</definedName>
    <definedName name="MOC" localSheetId="3">'PUMP 4'!$P$8</definedName>
    <definedName name="MOC" localSheetId="4">'PUMP 5'!$P$8</definedName>
    <definedName name="MOC" localSheetId="5">'PUMP 6'!$P$8</definedName>
    <definedName name="OurRef" localSheetId="0">'PUMP 1'!$C$4</definedName>
    <definedName name="OurRef" localSheetId="1">'PUMP 2'!$C$4</definedName>
    <definedName name="OurRef" localSheetId="2">'PUMP 3'!$C$4</definedName>
    <definedName name="OurRef" localSheetId="3">'PUMP 4'!$C$4</definedName>
    <definedName name="OurRef" localSheetId="4">'PUMP 5'!$C$4</definedName>
    <definedName name="OurRef" localSheetId="5">'PUMP 6'!$C$4</definedName>
    <definedName name="Particles" localSheetId="0">'PUMP 1'!$J$13</definedName>
    <definedName name="Particles" localSheetId="1">'PUMP 2'!$J$13</definedName>
    <definedName name="Particles" localSheetId="2">'PUMP 3'!$J$13</definedName>
    <definedName name="Particles" localSheetId="3">'PUMP 4'!$J$13</definedName>
    <definedName name="Particles" localSheetId="4">'PUMP 5'!$J$13</definedName>
    <definedName name="Particles" localSheetId="5">'PUMP 6'!$J$13</definedName>
    <definedName name="PoNo" localSheetId="0">'PUMP 1'!$B$8</definedName>
    <definedName name="PoNo" localSheetId="1">'PUMP 2'!$B$8</definedName>
    <definedName name="PoNo" localSheetId="2">'PUMP 3'!$B$8</definedName>
    <definedName name="PoNo" localSheetId="3">'PUMP 4'!$B$8</definedName>
    <definedName name="PoNo" localSheetId="4">'PUMP 5'!$B$8</definedName>
    <definedName name="PoNo" localSheetId="5">'PUMP 6'!$B$8</definedName>
    <definedName name="PT" localSheetId="0">'PUMP 1'!$B$12</definedName>
    <definedName name="PT" localSheetId="1">'PUMP 2'!$B$12</definedName>
    <definedName name="PT" localSheetId="2">'PUMP 3'!$B$12</definedName>
    <definedName name="PT" localSheetId="3">'PUMP 4'!$B$12</definedName>
    <definedName name="PT" localSheetId="4">'PUMP 5'!$B$12</definedName>
    <definedName name="PT" localSheetId="5">'PUMP 6'!$B$12</definedName>
    <definedName name="Report" localSheetId="0">'PUMP 1'!$M$58</definedName>
    <definedName name="Report" localSheetId="1">'PUMP 2'!$M$58</definedName>
    <definedName name="Report" localSheetId="2">'PUMP 3'!$M$58</definedName>
    <definedName name="Report" localSheetId="3">'PUMP 4'!$M$58</definedName>
    <definedName name="Report" localSheetId="4">'PUMP 5'!$M$58</definedName>
    <definedName name="Report" localSheetId="5">'PUMP 6'!$M$58</definedName>
    <definedName name="RV" localSheetId="0">'PUMP 1'!$Q$24</definedName>
    <definedName name="RV" localSheetId="1">'PUMP 2'!$Q$24</definedName>
    <definedName name="RV" localSheetId="2">'PUMP 3'!$Q$24</definedName>
    <definedName name="RV" localSheetId="3">'PUMP 4'!$Q$24</definedName>
    <definedName name="RV" localSheetId="4">'PUMP 5'!$Q$24</definedName>
    <definedName name="RV" localSheetId="5">'PUMP 6'!$Q$24</definedName>
    <definedName name="Solids" localSheetId="0">'PUMP 1'!$J$12</definedName>
    <definedName name="Solids" localSheetId="1">'PUMP 2'!$J$12</definedName>
    <definedName name="Solids" localSheetId="2">'PUMP 3'!$J$12</definedName>
    <definedName name="Solids" localSheetId="3">'PUMP 4'!$J$12</definedName>
    <definedName name="Solids" localSheetId="4">'PUMP 5'!$J$12</definedName>
    <definedName name="Solids" localSheetId="5">'PUMP 6'!$J$12</definedName>
    <definedName name="SpGr" localSheetId="0">'PUMP 1'!$B$13</definedName>
    <definedName name="SpGr" localSheetId="1">'PUMP 2'!$B$13</definedName>
    <definedName name="SpGr" localSheetId="2">'PUMP 3'!$B$13</definedName>
    <definedName name="SpGr" localSheetId="3">'PUMP 4'!$B$13</definedName>
    <definedName name="SpGr" localSheetId="4">'PUMP 5'!$B$13</definedName>
    <definedName name="SpGr" localSheetId="5">'PUMP 6'!$B$13</definedName>
    <definedName name="SuctPipeNb" localSheetId="0">'PUMP 1'!$L$21</definedName>
    <definedName name="SuctPipeNb" localSheetId="1">'PUMP 2'!$L$21</definedName>
    <definedName name="SuctPipeNb" localSheetId="2">'PUMP 3'!$L$21</definedName>
    <definedName name="SuctPipeNb" localSheetId="3">'PUMP 4'!$L$21</definedName>
    <definedName name="SuctPipeNb" localSheetId="4">'PUMP 5'!$L$21</definedName>
    <definedName name="SuctPipeNb" localSheetId="5">'PUMP 6'!$L$21</definedName>
    <definedName name="SuctPipeTotalLg" localSheetId="0">'PUMP 1'!$L$19</definedName>
    <definedName name="SuctPipeTotalLg" localSheetId="1">'PUMP 2'!$L$19</definedName>
    <definedName name="SuctPipeTotalLg" localSheetId="2">'PUMP 3'!$L$19</definedName>
    <definedName name="SuctPipeTotalLg" localSheetId="3">'PUMP 4'!$L$19</definedName>
    <definedName name="SuctPipeTotalLg" localSheetId="4">'PUMP 5'!$L$19</definedName>
    <definedName name="SuctPipeTotalLg" localSheetId="5">'PUMP 6'!$L$19</definedName>
    <definedName name="SuctPulsVolume" localSheetId="0">'PUMP 1'!$L$25</definedName>
    <definedName name="SuctPulsVolume" localSheetId="1">'PUMP 2'!$L$25</definedName>
    <definedName name="SuctPulsVolume" localSheetId="2">'PUMP 3'!$L$25</definedName>
    <definedName name="SuctPulsVolume" localSheetId="3">'PUMP 4'!$L$25</definedName>
    <definedName name="SuctPulsVolume" localSheetId="4">'PUMP 5'!$L$25</definedName>
    <definedName name="SuctPulsVolume" localSheetId="5">'PUMP 6'!$L$25</definedName>
    <definedName name="SuctStHd" localSheetId="0">'PUMP 1'!$L$20</definedName>
    <definedName name="SuctStHd" localSheetId="1">'PUMP 2'!$L$20</definedName>
    <definedName name="SuctStHd" localSheetId="2">'PUMP 3'!$L$20</definedName>
    <definedName name="SuctStHd" localSheetId="3">'PUMP 4'!$L$20</definedName>
    <definedName name="SuctStHd" localSheetId="4">'PUMP 5'!$L$20</definedName>
    <definedName name="SuctStHd" localSheetId="5">'PUMP 6'!$L$20</definedName>
    <definedName name="SuctStrainer" localSheetId="0">'PUMP 1'!$L$22</definedName>
    <definedName name="SuctStrainer" localSheetId="1">'PUMP 2'!$L$22</definedName>
    <definedName name="SuctStrainer" localSheetId="2">'PUMP 3'!$L$22</definedName>
    <definedName name="SuctStrainer" localSheetId="3">'PUMP 4'!$L$22</definedName>
    <definedName name="SuctStrainer" localSheetId="4">'PUMP 5'!$L$22</definedName>
    <definedName name="SuctStrainer" localSheetId="5">'PUMP 6'!$L$22</definedName>
    <definedName name="SuctTnkPr" localSheetId="0">'PUMP 1'!$L$18</definedName>
    <definedName name="SuctTnkPr" localSheetId="1">'PUMP 2'!$L$18</definedName>
    <definedName name="SuctTnkPr" localSheetId="2">'PUMP 3'!$L$18</definedName>
    <definedName name="SuctTnkPr" localSheetId="3">'PUMP 4'!$L$18</definedName>
    <definedName name="SuctTnkPr" localSheetId="4">'PUMP 5'!$L$18</definedName>
    <definedName name="SuctTnkPr" localSheetId="5">'PUMP 6'!$L$18</definedName>
    <definedName name="Vappr" localSheetId="0">'PUMP 1'!$B$14</definedName>
    <definedName name="Vappr" localSheetId="1">'PUMP 2'!$B$14</definedName>
    <definedName name="Vappr" localSheetId="2">'PUMP 3'!$B$14</definedName>
    <definedName name="Vappr" localSheetId="3">'PUMP 4'!$B$14</definedName>
    <definedName name="Vappr" localSheetId="4">'PUMP 5'!$B$14</definedName>
    <definedName name="Vappr" localSheetId="5">'PUMP 6'!$B$14</definedName>
    <definedName name="Viscosity" localSheetId="0">'PUMP 1'!$B$15</definedName>
    <definedName name="Viscosity" localSheetId="1">'PUMP 2'!$B$15</definedName>
    <definedName name="Viscosity" localSheetId="2">'PUMP 3'!$B$15</definedName>
    <definedName name="Viscosity" localSheetId="3">'PUMP 4'!$B$15</definedName>
    <definedName name="Viscosity" localSheetId="4">'PUMP 5'!$B$15</definedName>
    <definedName name="Viscosity" localSheetId="5">'PUMP 6'!$B$15</definedName>
  </definedNames>
  <calcPr fullCalcOnLoad="1"/>
</workbook>
</file>

<file path=xl/sharedStrings.xml><?xml version="1.0" encoding="utf-8"?>
<sst xmlns="http://schemas.openxmlformats.org/spreadsheetml/2006/main" count="744" uniqueCount="114">
  <si>
    <t>SHAPOTOOLS</t>
  </si>
  <si>
    <t>DRG. NO. DATA/NPSH/150</t>
  </si>
  <si>
    <r>
      <t>ITEM NO.</t>
    </r>
    <r>
      <rPr>
        <sz val="10"/>
        <color indexed="8"/>
        <rFont val="MS Sans Serif"/>
        <family val="2"/>
      </rPr>
      <t xml:space="preserve">   </t>
    </r>
  </si>
  <si>
    <t xml:space="preserve">DATE: </t>
  </si>
  <si>
    <r>
      <t xml:space="preserve">CAPACITY (LPH)    </t>
    </r>
    <r>
      <rPr>
        <sz val="9"/>
        <color indexed="12"/>
        <rFont val="MS Sans Serif"/>
        <family val="2"/>
      </rPr>
      <t xml:space="preserve">  </t>
    </r>
  </si>
  <si>
    <t>AUTH.BY</t>
  </si>
  <si>
    <t>CHKD. BY</t>
  </si>
  <si>
    <t>MADE BY</t>
  </si>
  <si>
    <r>
      <t xml:space="preserve">SPM:      </t>
    </r>
    <r>
      <rPr>
        <sz val="9"/>
        <color indexed="12"/>
        <rFont val="MS Sans Serif"/>
        <family val="2"/>
      </rPr>
      <t xml:space="preserve">   </t>
    </r>
  </si>
  <si>
    <r>
      <t xml:space="preserve">M.O.C. (WET)    </t>
    </r>
    <r>
      <rPr>
        <sz val="9"/>
        <color indexed="12"/>
        <rFont val="MS Sans Serif"/>
        <family val="2"/>
      </rPr>
      <t xml:space="preserve"> </t>
    </r>
  </si>
  <si>
    <t>THE FOLLOWING INFORMATION IS TO BE PROVIDED BY THE PURCHASER</t>
  </si>
  <si>
    <r>
      <t>BOILING POINT (</t>
    </r>
    <r>
      <rPr>
        <vertAlign val="superscript"/>
        <sz val="9"/>
        <color indexed="8"/>
        <rFont val="Arial"/>
        <family val="2"/>
      </rPr>
      <t>O</t>
    </r>
    <r>
      <rPr>
        <sz val="9"/>
        <color indexed="8"/>
        <rFont val="MS Sans Serif"/>
        <family val="2"/>
      </rPr>
      <t>C)</t>
    </r>
  </si>
  <si>
    <t>VAPOR PR.  AT PT. (m.m. of Hg.)</t>
  </si>
  <si>
    <t>SP.GR. AT P.T.</t>
  </si>
  <si>
    <t>CORROSION CAUSED BY</t>
  </si>
  <si>
    <t>16a</t>
  </si>
  <si>
    <t>SOLIDS PRESENT (YES / NO)</t>
  </si>
  <si>
    <t>16b</t>
  </si>
  <si>
    <t>16c</t>
  </si>
  <si>
    <t>ABRASIVE NATURE OF PARTICLE (YES/ NO)</t>
  </si>
  <si>
    <t>CONDITIONS</t>
  </si>
  <si>
    <t>SUCTION</t>
  </si>
  <si>
    <t>DISCHARGE</t>
  </si>
  <si>
    <t>TOTAL LENGTH OF PIPE (M)</t>
  </si>
  <si>
    <t>N.A.</t>
  </si>
  <si>
    <t>SIZE</t>
  </si>
  <si>
    <t>QTY</t>
  </si>
  <si>
    <t>EQUIV. LG. (M)</t>
  </si>
  <si>
    <t>EQUIVE. LG (M)</t>
  </si>
  <si>
    <t>ELBOW</t>
  </si>
  <si>
    <t>TEE</t>
  </si>
  <si>
    <t>NPSHA (MLC)</t>
  </si>
  <si>
    <t>REMARKS</t>
  </si>
  <si>
    <t xml:space="preserve">NOTES: </t>
  </si>
  <si>
    <t>SHEET 1 of 1</t>
  </si>
  <si>
    <t>PURCHASER M/S.:</t>
  </si>
  <si>
    <t>OFFER NO.</t>
  </si>
  <si>
    <t>REV No: 0</t>
  </si>
  <si>
    <t>INSTALLATION DATA  SHEET</t>
  </si>
  <si>
    <t>LIQUID SPECIFICATIONS</t>
  </si>
  <si>
    <r>
      <t>SUCTION &amp; DISCHARGE CONDITIONS</t>
    </r>
  </si>
  <si>
    <r>
      <t xml:space="preserve">LIQUID PUMPED : </t>
    </r>
    <r>
      <rPr>
        <sz val="9"/>
        <color indexed="12"/>
        <rFont val="MS Sans Serif"/>
        <family val="2"/>
      </rPr>
      <t xml:space="preserve"> </t>
    </r>
  </si>
  <si>
    <r>
      <t>P.T. (</t>
    </r>
    <r>
      <rPr>
        <sz val="9"/>
        <color indexed="8"/>
        <rFont val="MS Sans Serif"/>
        <family val="2"/>
      </rPr>
      <t xml:space="preserve">C) </t>
    </r>
  </si>
  <si>
    <r>
      <t>DISCHARGE RELIEF VALVE SET PRESSURE (KG/Cm</t>
    </r>
    <r>
      <rPr>
        <vertAlign val="superscript"/>
        <sz val="9"/>
        <color indexed="8"/>
        <rFont val="Arial"/>
        <family val="2"/>
      </rPr>
      <t>2</t>
    </r>
    <r>
      <rPr>
        <sz val="9"/>
        <color indexed="8"/>
        <rFont val="MS Sans Serif"/>
        <family val="2"/>
      </rPr>
      <t>g)</t>
    </r>
  </si>
  <si>
    <r>
      <t>Ø</t>
    </r>
    <r>
      <rPr>
        <sz val="9"/>
        <rFont val="Times New Roman"/>
        <family val="1"/>
      </rPr>
      <t xml:space="preserve">        </t>
    </r>
    <r>
      <rPr>
        <sz val="9"/>
        <rFont val="Arial"/>
        <family val="2"/>
      </rPr>
      <t>Discharge head to be higher than suction head by atleast 2 mt.</t>
    </r>
  </si>
  <si>
    <r>
      <t>Ø</t>
    </r>
    <r>
      <rPr>
        <sz val="9"/>
        <rFont val="Times New Roman"/>
        <family val="1"/>
      </rPr>
      <t xml:space="preserve">       </t>
    </r>
    <r>
      <rPr>
        <sz val="9"/>
        <rFont val="Arial"/>
        <family val="2"/>
      </rPr>
      <t>Control valve on disch. side for throttling the pump output is forbidden.</t>
    </r>
  </si>
  <si>
    <r>
      <t>Ø</t>
    </r>
    <r>
      <rPr>
        <sz val="9"/>
        <rFont val="Times New Roman"/>
        <family val="1"/>
      </rPr>
      <t xml:space="preserve">        </t>
    </r>
    <r>
      <rPr>
        <sz val="9"/>
        <rFont val="Arial"/>
        <family val="2"/>
      </rPr>
      <t>Purchaser to provide Pressure Gauge on discharge side of pump immediately after pump discharge flange before any other valve.</t>
    </r>
  </si>
  <si>
    <t>MODEL</t>
  </si>
  <si>
    <t>+</t>
  </si>
  <si>
    <t>DISCHARGE BACK PRESSURE VALVE PROVIDED                  (YES/NO)       /      SET PR (KG/Cm2a)</t>
  </si>
  <si>
    <r>
      <t>Ø</t>
    </r>
    <r>
      <rPr>
        <sz val="9"/>
        <rFont val="Times New Roman"/>
        <family val="1"/>
      </rPr>
      <t xml:space="preserve">        </t>
    </r>
    <r>
      <rPr>
        <sz val="9"/>
        <rFont val="Arial"/>
        <family val="2"/>
      </rPr>
      <t>It is imperative that suction line should be atleast one size higher than pump suction flange NB (assuming suction pipe length is nominal).
           If this not implement pump will not perform correctly and can even result in serious damage because of cavitation.</t>
    </r>
  </si>
  <si>
    <t>FITTING</t>
  </si>
  <si>
    <t>PO NO. / DATE</t>
  </si>
  <si>
    <t>x (Pipe Lg in M)</t>
  </si>
  <si>
    <t>(Pipe NB in MM) sq</t>
  </si>
  <si>
    <t xml:space="preserve">Stroke Lg mm = </t>
  </si>
  <si>
    <t xml:space="preserve">Plunger Dia mm = </t>
  </si>
  <si>
    <t>Acc Head (Bar a)  =</t>
  </si>
  <si>
    <t xml:space="preserve">Internal Loss (Bar a) = </t>
  </si>
  <si>
    <t>NPSHR (Bar a) =</t>
  </si>
  <si>
    <t>Suct Acc Head (Bar a)  =</t>
  </si>
  <si>
    <t>Disch Acc Head (Bar a)  =</t>
  </si>
  <si>
    <t>NPSHA (Bar a)=</t>
  </si>
  <si>
    <t>CHK. BY :                      DATE : 1/4/1995</t>
  </si>
  <si>
    <t>MADE BY : Lavina    DATE : 1/4/1995</t>
  </si>
  <si>
    <t>Differential PR (Bar A) =</t>
  </si>
  <si>
    <t xml:space="preserve">Suct Damper Pr (Bara) = </t>
  </si>
  <si>
    <t xml:space="preserve">Disch Damper Pr (Bara) = </t>
  </si>
  <si>
    <t>Suct Acc Head W/o Damper (Bar a)  =</t>
  </si>
  <si>
    <t>Disch Acc Head W/o Damper (Bar a)  =</t>
  </si>
  <si>
    <t>NPSH DIFFERENCE (Bar a) =</t>
  </si>
  <si>
    <t>Differential PR W/O BPV (Bar A) =</t>
  </si>
  <si>
    <t>Min 0.1 Bar A Required</t>
  </si>
  <si>
    <t>Min 0.4 Bar A required</t>
  </si>
  <si>
    <t>Suct Damper Vol (Lit) =</t>
  </si>
  <si>
    <t>Disch Damper Vol (Lit) =</t>
  </si>
  <si>
    <t>Disch Resudal Pulsation% +/- =</t>
  </si>
  <si>
    <t>Suct Resudal Pulsation% +/- =</t>
  </si>
  <si>
    <t>Ultimate Disch Pr (Bar A) =</t>
  </si>
  <si>
    <t>SHAPOTOOLS SUGGESTIONS</t>
  </si>
  <si>
    <t>PARTICLE SIZE (MICRON) / 
PARTICLE CONCENTRATION (%)</t>
  </si>
  <si>
    <r>
      <t xml:space="preserve">VISCOSITY AT P.T. (CP) </t>
    </r>
    <r>
      <rPr>
        <sz val="9"/>
        <color indexed="12"/>
        <rFont val="MS Sans Serif"/>
        <family val="2"/>
      </rPr>
      <t xml:space="preserve"> </t>
    </r>
  </si>
  <si>
    <t xml:space="preserve">margin of 0.5 bar or 5% </t>
  </si>
  <si>
    <t>SRV Setting as per pump disch Pr</t>
  </si>
  <si>
    <r>
      <t>DISCH PR, (KG/CM</t>
    </r>
    <r>
      <rPr>
        <vertAlign val="superscript"/>
        <sz val="9"/>
        <color indexed="8"/>
        <rFont val="MS Sans Serif"/>
        <family val="2"/>
      </rPr>
      <t xml:space="preserve">2 </t>
    </r>
    <r>
      <rPr>
        <sz val="9"/>
        <color indexed="8"/>
        <rFont val="MS Sans Serif"/>
        <family val="2"/>
      </rPr>
      <t>g)</t>
    </r>
  </si>
  <si>
    <t>Dongle Present</t>
  </si>
  <si>
    <t>Dongle Expiry Dt.</t>
  </si>
  <si>
    <t>System Dt.</t>
  </si>
  <si>
    <t>Days Left</t>
  </si>
  <si>
    <t>Counts Remaining</t>
  </si>
  <si>
    <t>This spreadheet is copy-write protected.</t>
  </si>
  <si>
    <t>Suggestions Available</t>
  </si>
  <si>
    <t>NO</t>
  </si>
  <si>
    <t>YES</t>
  </si>
  <si>
    <t>BPV Setting required (Bar A) =</t>
  </si>
  <si>
    <t>Actual BPV Setting (Bar A) =</t>
  </si>
  <si>
    <t>No</t>
  </si>
  <si>
    <t>SDO</t>
  </si>
  <si>
    <t>SD</t>
  </si>
  <si>
    <t>OD</t>
  </si>
  <si>
    <t>REM</t>
  </si>
  <si>
    <t>PB</t>
  </si>
  <si>
    <t>TOTAL</t>
  </si>
  <si>
    <t>HYD</t>
  </si>
  <si>
    <t>STATIC HEAD ABOVE PUMP FLANGE (MLC)                            (+/-)                 (Must be less than total length)</t>
  </si>
  <si>
    <r>
      <t>PRESSURE IN TANK (KG/Cm</t>
    </r>
    <r>
      <rPr>
        <vertAlign val="superscript"/>
        <sz val="9"/>
        <color indexed="8"/>
        <rFont val="Arial"/>
        <family val="2"/>
      </rPr>
      <t>2</t>
    </r>
    <r>
      <rPr>
        <sz val="9"/>
        <color indexed="8"/>
        <rFont val="MS Sans Serif"/>
        <family val="2"/>
      </rPr>
      <t>a)                                                                                 (Give in absolute values)</t>
    </r>
  </si>
  <si>
    <t>PIPE NOMINAL BORE                                                          (Try to provide atleast equal to pump connections)</t>
  </si>
  <si>
    <t>SUCTION STRAINER PROVIDED (YES / NO)                                                                   (Provide Mandatory)</t>
  </si>
  <si>
    <t>VALVES</t>
  </si>
  <si>
    <t>ENTER</t>
  </si>
  <si>
    <t>PULSATION DAMPER PROVIDED                             (+/-) %</t>
  </si>
  <si>
    <t xml:space="preserve"> (YES / NO) / Volume (LIT)</t>
  </si>
  <si>
    <t xml:space="preserve">A2/3, GIDC ESTATE, PLOT 59, </t>
  </si>
  <si>
    <t>ANTALIA, BILIMORA, GUJARAT 396321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</si>
</sst>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
  </numFmts>
  <fonts count="54">
    <font>
      <sz val="11"/>
      <color theme="1"/>
      <name val="Calibri"/>
      <family val="2"/>
    </font>
    <font>
      <sz val="11"/>
      <color indexed="8"/>
      <name val="Calibri"/>
      <family val="2"/>
    </font>
    <font>
      <sz val="10"/>
      <color indexed="8"/>
      <name val="MS Sans Serif"/>
      <family val="2"/>
    </font>
    <font>
      <sz val="12"/>
      <color indexed="8"/>
      <name val="Arial"/>
      <family val="2"/>
    </font>
    <font>
      <b/>
      <sz val="10"/>
      <color indexed="8"/>
      <name val="MS Sans Serif"/>
      <family val="2"/>
    </font>
    <font>
      <sz val="9"/>
      <color indexed="8"/>
      <name val="MS Sans Serif"/>
      <family val="2"/>
    </font>
    <font>
      <sz val="9"/>
      <color indexed="12"/>
      <name val="MS Sans Serif"/>
      <family val="2"/>
    </font>
    <font>
      <vertAlign val="superscript"/>
      <sz val="9"/>
      <color indexed="8"/>
      <name val="MS Sans Serif"/>
      <family val="2"/>
    </font>
    <font>
      <b/>
      <u val="single"/>
      <sz val="10"/>
      <color indexed="8"/>
      <name val="MS Sans Serif"/>
      <family val="2"/>
    </font>
    <font>
      <vertAlign val="superscript"/>
      <sz val="9"/>
      <color indexed="8"/>
      <name val="Arial"/>
      <family val="2"/>
    </font>
    <font>
      <b/>
      <sz val="12"/>
      <color indexed="8"/>
      <name val="Times New Roman"/>
      <family val="1"/>
    </font>
    <font>
      <b/>
      <sz val="9"/>
      <color indexed="8"/>
      <name val="MS Sans Serif"/>
      <family val="2"/>
    </font>
    <font>
      <b/>
      <sz val="12"/>
      <name val="Times New Roman"/>
      <family val="1"/>
    </font>
    <font>
      <sz val="7"/>
      <color indexed="8"/>
      <name val="MS Sans Serif"/>
      <family val="2"/>
    </font>
    <font>
      <b/>
      <sz val="8"/>
      <name val="MS Sans Serif"/>
      <family val="2"/>
    </font>
    <font>
      <sz val="9"/>
      <name val="Wingdings"/>
      <family val="0"/>
    </font>
    <font>
      <sz val="9"/>
      <name val="Times New Roman"/>
      <family val="1"/>
    </font>
    <font>
      <sz val="9"/>
      <name val="Arial"/>
      <family val="2"/>
    </font>
    <font>
      <b/>
      <sz val="18"/>
      <color indexed="8"/>
      <name val="Arial"/>
      <family val="2"/>
    </font>
    <font>
      <u val="single"/>
      <sz val="11"/>
      <color indexed="8"/>
      <name val="Calibri"/>
      <family val="2"/>
    </font>
    <font>
      <b/>
      <sz val="11"/>
      <color indexed="8"/>
      <name val="MS Sans Serif"/>
      <family val="2"/>
    </font>
    <font>
      <sz val="11"/>
      <color indexed="9"/>
      <name val="Calibri"/>
      <family val="2"/>
    </font>
    <font>
      <sz val="8.5"/>
      <color indexed="8"/>
      <name val="MS Sans Serif"/>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right style="medium"/>
      <top style="thin"/>
      <bottom style="thin"/>
    </border>
    <border>
      <left style="thin"/>
      <right/>
      <top style="thin"/>
      <bottom style="medium"/>
    </border>
    <border>
      <left/>
      <right style="thin"/>
      <top style="thin"/>
      <bottom style="medium"/>
    </border>
    <border>
      <left/>
      <right/>
      <top style="thin"/>
      <bottom style="medium"/>
    </border>
    <border>
      <left/>
      <right style="medium"/>
      <top style="thin"/>
      <bottom style="medium"/>
    </border>
    <border>
      <left style="thin"/>
      <right/>
      <top style="thin"/>
      <bottom/>
    </border>
    <border>
      <left/>
      <right/>
      <top style="thin"/>
      <bottom/>
    </border>
    <border>
      <left/>
      <right style="medium"/>
      <top style="thin"/>
      <bottom/>
    </border>
    <border>
      <left/>
      <right/>
      <top>
        <color indexed="63"/>
      </top>
      <bottom style="thin"/>
    </border>
    <border>
      <left style="medium"/>
      <right style="thin"/>
      <top/>
      <bottom/>
    </border>
    <border>
      <left style="thin"/>
      <right style="thin"/>
      <top/>
      <bottom/>
    </border>
    <border>
      <left style="thin"/>
      <right style="medium"/>
      <top/>
      <bottom/>
    </border>
    <border>
      <left style="thin"/>
      <right/>
      <top style="medium"/>
      <bottom style="thin"/>
    </border>
    <border>
      <left/>
      <right/>
      <top style="medium"/>
      <bottom style="thin"/>
    </border>
    <border>
      <left/>
      <right style="medium"/>
      <top style="medium"/>
      <bottom style="thin"/>
    </border>
    <border>
      <left style="thin"/>
      <right style="thin"/>
      <top style="medium"/>
      <bottom/>
    </border>
    <border>
      <left style="thin"/>
      <right style="medium"/>
      <top style="medium"/>
      <bottom/>
    </border>
    <border>
      <left/>
      <right style="thin"/>
      <top/>
      <bottom/>
    </border>
    <border>
      <left style="thin"/>
      <right style="thin"/>
      <top/>
      <bottom style="medium"/>
    </border>
    <border>
      <left style="thin"/>
      <right style="medium"/>
      <top/>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5">
    <xf numFmtId="0" fontId="0" fillId="0" borderId="0" xfId="0" applyFont="1" applyAlignment="1">
      <alignment/>
    </xf>
    <xf numFmtId="172" fontId="0" fillId="0" borderId="0" xfId="0" applyNumberFormat="1" applyAlignment="1">
      <alignment/>
    </xf>
    <xf numFmtId="0" fontId="22" fillId="0" borderId="10" xfId="0" applyFont="1" applyBorder="1" applyAlignment="1" applyProtection="1">
      <alignment horizontal="left"/>
      <protection locked="0"/>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2" fillId="0" borderId="14" xfId="0" applyFont="1" applyBorder="1" applyAlignment="1">
      <alignment/>
    </xf>
    <xf numFmtId="0" fontId="0" fillId="0" borderId="14" xfId="0" applyBorder="1" applyAlignment="1">
      <alignment/>
    </xf>
    <xf numFmtId="0" fontId="0" fillId="0" borderId="15" xfId="0" applyBorder="1" applyAlignment="1">
      <alignment/>
    </xf>
    <xf numFmtId="2" fontId="0" fillId="0" borderId="0" xfId="0" applyNumberFormat="1" applyAlignment="1">
      <alignment/>
    </xf>
    <xf numFmtId="0" fontId="21" fillId="0" borderId="0" xfId="0" applyFont="1" applyAlignment="1" applyProtection="1">
      <alignment/>
      <protection locked="0"/>
    </xf>
    <xf numFmtId="0" fontId="0" fillId="0" borderId="0" xfId="0" applyAlignment="1" applyProtection="1">
      <alignment/>
      <protection locked="0"/>
    </xf>
    <xf numFmtId="0" fontId="0" fillId="0" borderId="0" xfId="0" applyFill="1" applyAlignment="1" applyProtection="1">
      <alignment/>
      <protection locked="0"/>
    </xf>
    <xf numFmtId="172" fontId="19" fillId="0" borderId="0" xfId="0" applyNumberFormat="1" applyFont="1" applyAlignment="1" applyProtection="1">
      <alignment/>
      <protection locked="0"/>
    </xf>
    <xf numFmtId="0" fontId="19" fillId="0" borderId="0" xfId="0" applyFont="1" applyAlignment="1" applyProtection="1">
      <alignment/>
      <protection locked="0"/>
    </xf>
    <xf numFmtId="0" fontId="0" fillId="0" borderId="0" xfId="0" applyAlignment="1" applyProtection="1">
      <alignment horizontal="left"/>
      <protection locked="0"/>
    </xf>
    <xf numFmtId="173" fontId="0" fillId="0" borderId="0" xfId="0" applyNumberFormat="1" applyAlignment="1" applyProtection="1">
      <alignment horizontal="left"/>
      <protection locked="0"/>
    </xf>
    <xf numFmtId="2" fontId="0" fillId="0" borderId="0" xfId="0" applyNumberFormat="1" applyAlignment="1" applyProtection="1">
      <alignment horizontal="left"/>
      <protection locked="0"/>
    </xf>
    <xf numFmtId="0" fontId="0" fillId="0" borderId="0" xfId="0" applyAlignment="1" applyProtection="1">
      <alignment vertical="center"/>
      <protection locked="0"/>
    </xf>
    <xf numFmtId="173" fontId="0" fillId="0" borderId="0" xfId="0" applyNumberFormat="1" applyAlignment="1" applyProtection="1">
      <alignment horizontal="left" vertical="center"/>
      <protection locked="0"/>
    </xf>
    <xf numFmtId="172" fontId="0" fillId="0" borderId="0" xfId="0" applyNumberFormat="1" applyAlignment="1" applyProtection="1">
      <alignment horizontal="left"/>
      <protection locked="0"/>
    </xf>
    <xf numFmtId="173" fontId="0" fillId="0" borderId="0" xfId="0" applyNumberFormat="1" applyFont="1" applyAlignment="1" applyProtection="1">
      <alignment horizontal="left"/>
      <protection locked="0"/>
    </xf>
    <xf numFmtId="0" fontId="0" fillId="33" borderId="0" xfId="0" applyFill="1" applyAlignment="1" applyProtection="1">
      <alignment/>
      <protection locked="0"/>
    </xf>
    <xf numFmtId="14" fontId="0" fillId="0" borderId="0" xfId="0" applyNumberFormat="1" applyAlignment="1">
      <alignment/>
    </xf>
    <xf numFmtId="0" fontId="0" fillId="0" borderId="0" xfId="0" applyAlignment="1" applyProtection="1">
      <alignment horizontal="center"/>
      <protection locked="0"/>
    </xf>
    <xf numFmtId="173" fontId="0" fillId="0" borderId="0" xfId="0" applyNumberFormat="1" applyAlignment="1" applyProtection="1">
      <alignment/>
      <protection locked="0"/>
    </xf>
    <xf numFmtId="0" fontId="0" fillId="0" borderId="0" xfId="0" applyAlignment="1" applyProtection="1">
      <alignment horizontal="center"/>
      <protection locked="0"/>
    </xf>
    <xf numFmtId="0" fontId="5" fillId="0" borderId="11"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2" xfId="0" applyFont="1" applyBorder="1" applyAlignment="1" applyProtection="1">
      <alignment horizontal="left" vertical="center" shrinkToFit="1"/>
      <protection locked="0"/>
    </xf>
    <xf numFmtId="0" fontId="5" fillId="0" borderId="12" xfId="0" applyFont="1" applyBorder="1" applyAlignment="1">
      <alignment horizontal="center" vertical="center" shrinkToFit="1"/>
    </xf>
    <xf numFmtId="0" fontId="5" fillId="0" borderId="10"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15" xfId="0" applyFont="1" applyBorder="1" applyAlignment="1" applyProtection="1">
      <alignment horizontal="center" vertical="center" shrinkToFit="1"/>
      <protection locked="0"/>
    </xf>
    <xf numFmtId="0" fontId="5" fillId="0" borderId="11" xfId="0" applyFont="1" applyBorder="1" applyAlignment="1">
      <alignment vertical="center" shrinkToFit="1"/>
    </xf>
    <xf numFmtId="0" fontId="5" fillId="0" borderId="10" xfId="0" applyFont="1" applyBorder="1" applyAlignment="1">
      <alignment vertical="center" shrinkToFit="1"/>
    </xf>
    <xf numFmtId="0" fontId="5" fillId="0" borderId="10" xfId="0" applyFont="1" applyBorder="1" applyAlignment="1" applyProtection="1">
      <alignment horizontal="right" vertical="center" shrinkToFit="1"/>
      <protection locked="0"/>
    </xf>
    <xf numFmtId="172" fontId="5" fillId="0" borderId="16" xfId="0" applyNumberFormat="1" applyFont="1" applyBorder="1" applyAlignment="1" applyProtection="1">
      <alignment vertical="center" shrinkToFit="1"/>
      <protection locked="0"/>
    </xf>
    <xf numFmtId="0" fontId="5" fillId="0" borderId="10" xfId="0" applyFont="1" applyBorder="1" applyAlignment="1" applyProtection="1">
      <alignment vertical="center" shrinkToFit="1"/>
      <protection locked="0"/>
    </xf>
    <xf numFmtId="0" fontId="5" fillId="0" borderId="13" xfId="0" applyFont="1" applyBorder="1" applyAlignment="1">
      <alignment vertical="center" shrinkToFit="1"/>
    </xf>
    <xf numFmtId="0" fontId="22" fillId="0" borderId="10" xfId="0" applyFont="1" applyBorder="1" applyAlignment="1" applyProtection="1">
      <alignment horizontal="right" wrapText="1"/>
      <protection hidden="1"/>
    </xf>
    <xf numFmtId="0" fontId="22" fillId="0" borderId="14" xfId="0" applyFont="1" applyBorder="1" applyAlignment="1">
      <alignment horizontal="right"/>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13" xfId="0" applyFont="1" applyBorder="1" applyAlignment="1">
      <alignment horizontal="left" vertical="center" wrapText="1"/>
    </xf>
    <xf numFmtId="0" fontId="15" fillId="0" borderId="20" xfId="0" applyFont="1" applyBorder="1" applyAlignment="1">
      <alignment horizontal="left" vertical="center"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20" fillId="0" borderId="17" xfId="0" applyFont="1" applyBorder="1" applyAlignment="1" applyProtection="1">
      <alignment horizontal="center" wrapText="1"/>
      <protection hidden="1"/>
    </xf>
    <xf numFmtId="0" fontId="20" fillId="0" borderId="18" xfId="0" applyFont="1" applyBorder="1" applyAlignment="1" applyProtection="1">
      <alignment horizontal="center" wrapText="1"/>
      <protection hidden="1"/>
    </xf>
    <xf numFmtId="0" fontId="20" fillId="0" borderId="19" xfId="0" applyFont="1" applyBorder="1" applyAlignment="1" applyProtection="1">
      <alignment horizontal="center" wrapText="1"/>
      <protection hidden="1"/>
    </xf>
    <xf numFmtId="0" fontId="2" fillId="0" borderId="21"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25"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22" xfId="0" applyFont="1" applyBorder="1" applyAlignment="1" applyProtection="1">
      <alignment horizontal="left" vertical="center" shrinkToFit="1"/>
      <protection locked="0"/>
    </xf>
    <xf numFmtId="0" fontId="5" fillId="0" borderId="26"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26"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5" fillId="0" borderId="28" xfId="0" applyFont="1" applyBorder="1" applyAlignment="1" applyProtection="1">
      <alignment horizontal="left" vertical="center" shrinkToFit="1"/>
      <protection locked="0"/>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31" xfId="0" applyFont="1" applyBorder="1" applyAlignment="1" applyProtection="1">
      <alignment horizontal="left" vertical="center" shrinkToFit="1"/>
      <protection locked="0"/>
    </xf>
    <xf numFmtId="0" fontId="5" fillId="0" borderId="32" xfId="0" applyFont="1" applyBorder="1" applyAlignment="1" applyProtection="1">
      <alignment horizontal="left" vertical="center" shrinkToFit="1"/>
      <protection locked="0"/>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2" fillId="0" borderId="33" xfId="0" applyFont="1" applyBorder="1" applyAlignment="1" applyProtection="1">
      <alignment horizontal="left" vertical="center" shrinkToFit="1"/>
      <protection locked="0"/>
    </xf>
    <xf numFmtId="0" fontId="2" fillId="0" borderId="34"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10" xfId="0" applyFont="1" applyBorder="1" applyAlignment="1" applyProtection="1">
      <alignment horizontal="center" vertical="center" shrinkToFit="1"/>
      <protection locked="0"/>
    </xf>
    <xf numFmtId="0" fontId="5" fillId="0" borderId="26"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10" xfId="0" applyFont="1" applyBorder="1" applyAlignment="1">
      <alignment vertical="center" shrinkToFit="1"/>
    </xf>
    <xf numFmtId="0" fontId="5" fillId="0" borderId="10" xfId="0" applyFont="1" applyBorder="1" applyAlignment="1" applyProtection="1">
      <alignment vertical="center" shrinkToFit="1"/>
      <protection locked="0"/>
    </xf>
    <xf numFmtId="0" fontId="5" fillId="0" borderId="10" xfId="0" applyFont="1" applyBorder="1" applyAlignment="1">
      <alignment horizontal="center" vertical="center" shrinkToFit="1"/>
    </xf>
    <xf numFmtId="0" fontId="5" fillId="0" borderId="16"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8" xfId="0" applyFont="1" applyBorder="1" applyAlignment="1">
      <alignment horizontal="center" vertical="center" shrinkToFit="1"/>
    </xf>
    <xf numFmtId="0" fontId="5" fillId="0" borderId="16" xfId="0" applyFont="1" applyBorder="1" applyAlignment="1">
      <alignment horizontal="right" vertical="center" shrinkToFit="1"/>
    </xf>
    <xf numFmtId="0" fontId="5" fillId="0" borderId="27" xfId="0" applyFont="1" applyBorder="1" applyAlignment="1">
      <alignment horizontal="right" vertical="center" shrinkToFit="1"/>
    </xf>
    <xf numFmtId="0" fontId="5" fillId="0" borderId="27" xfId="0" applyFont="1" applyBorder="1" applyAlignment="1" applyProtection="1">
      <alignment horizontal="center" vertical="center" shrinkToFit="1"/>
      <protection locked="0"/>
    </xf>
    <xf numFmtId="0" fontId="5" fillId="0" borderId="20" xfId="0" applyFont="1" applyBorder="1" applyAlignment="1">
      <alignment vertical="center" shrinkToFit="1"/>
    </xf>
    <xf numFmtId="0" fontId="5" fillId="0" borderId="16" xfId="0" applyFont="1" applyBorder="1" applyAlignment="1">
      <alignment horizontal="center" vertical="center" shrinkToFit="1"/>
    </xf>
    <xf numFmtId="0" fontId="5" fillId="0" borderId="28"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4" fillId="0" borderId="17" xfId="0" applyFont="1" applyBorder="1" applyAlignment="1">
      <alignment horizontal="center" vertical="center" shrinkToFit="1"/>
    </xf>
    <xf numFmtId="0" fontId="5" fillId="0" borderId="12" xfId="0" applyFont="1" applyBorder="1" applyAlignment="1" applyProtection="1">
      <alignment horizontal="center" vertical="center" shrinkToFit="1"/>
      <protection locked="0"/>
    </xf>
    <xf numFmtId="0" fontId="5" fillId="0" borderId="10" xfId="0" applyFont="1" applyBorder="1" applyAlignment="1">
      <alignment horizontal="left" vertical="center" shrinkToFit="1"/>
    </xf>
    <xf numFmtId="0" fontId="5" fillId="0" borderId="14" xfId="0" applyFont="1" applyBorder="1" applyAlignment="1">
      <alignment horizontal="left" vertical="center" wrapText="1" shrinkToFit="1"/>
    </xf>
    <xf numFmtId="0" fontId="5" fillId="0" borderId="29" xfId="0" applyNumberFormat="1" applyFont="1" applyBorder="1" applyAlignment="1" applyProtection="1">
      <alignment horizontal="left" vertical="center" shrinkToFit="1"/>
      <protection locked="0"/>
    </xf>
    <xf numFmtId="0" fontId="5" fillId="0" borderId="31" xfId="0" applyNumberFormat="1" applyFont="1" applyBorder="1" applyAlignment="1" applyProtection="1">
      <alignment horizontal="left" vertical="center" shrinkToFit="1"/>
      <protection locked="0"/>
    </xf>
    <xf numFmtId="0" fontId="5" fillId="0" borderId="29" xfId="0" applyFont="1" applyBorder="1" applyAlignment="1" applyProtection="1">
      <alignment horizontal="left" vertical="center" shrinkToFit="1"/>
      <protection locked="0"/>
    </xf>
    <xf numFmtId="0" fontId="5" fillId="0" borderId="30"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12" fillId="0" borderId="37" xfId="0" applyFont="1" applyBorder="1" applyAlignment="1">
      <alignment horizontal="center" vertical="center" shrinkToFit="1"/>
    </xf>
    <xf numFmtId="0" fontId="12" fillId="0" borderId="38" xfId="0" applyFont="1" applyBorder="1" applyAlignment="1">
      <alignment horizontal="center" vertical="center" shrinkToFit="1"/>
    </xf>
    <xf numFmtId="0" fontId="12" fillId="0" borderId="39"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5" fillId="0" borderId="14" xfId="0" applyFont="1" applyBorder="1" applyAlignment="1">
      <alignment horizontal="left" vertical="center" shrinkToFit="1"/>
    </xf>
    <xf numFmtId="0" fontId="5" fillId="0" borderId="14" xfId="0" applyFont="1" applyBorder="1" applyAlignment="1" applyProtection="1">
      <alignment horizontal="center" vertical="center" shrinkToFit="1"/>
      <protection locked="0"/>
    </xf>
    <xf numFmtId="0" fontId="5" fillId="0" borderId="26" xfId="0" applyNumberFormat="1" applyFont="1" applyBorder="1" applyAlignment="1" applyProtection="1">
      <alignment horizontal="left" vertical="center" shrinkToFit="1"/>
      <protection locked="0"/>
    </xf>
    <xf numFmtId="0" fontId="5" fillId="0" borderId="16" xfId="0" applyNumberFormat="1" applyFont="1" applyBorder="1" applyAlignment="1" applyProtection="1">
      <alignment horizontal="left" vertical="center" shrinkToFit="1"/>
      <protection locked="0"/>
    </xf>
    <xf numFmtId="0" fontId="5" fillId="0" borderId="27" xfId="0" applyNumberFormat="1" applyFont="1" applyBorder="1" applyAlignment="1" applyProtection="1">
      <alignment horizontal="left" vertical="center" shrinkToFit="1"/>
      <protection locked="0"/>
    </xf>
    <xf numFmtId="0" fontId="11" fillId="0" borderId="17"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40" xfId="0" applyFont="1" applyBorder="1" applyAlignment="1" applyProtection="1">
      <alignment horizontal="left" vertical="center" shrinkToFit="1"/>
      <protection locked="0"/>
    </xf>
    <xf numFmtId="0" fontId="11" fillId="0" borderId="41" xfId="0" applyFont="1" applyBorder="1" applyAlignment="1" applyProtection="1">
      <alignment horizontal="left" vertical="center" shrinkToFit="1"/>
      <protection locked="0"/>
    </xf>
    <xf numFmtId="0" fontId="11" fillId="0" borderId="42" xfId="0" applyFont="1" applyBorder="1" applyAlignment="1" applyProtection="1">
      <alignment horizontal="left" vertical="center" shrinkToFit="1"/>
      <protection locked="0"/>
    </xf>
    <xf numFmtId="0" fontId="0" fillId="0" borderId="0" xfId="0" applyAlignment="1" applyProtection="1">
      <alignment horizontal="center"/>
      <protection locked="0"/>
    </xf>
    <xf numFmtId="0" fontId="5" fillId="0" borderId="10" xfId="0" applyFont="1" applyBorder="1" applyAlignment="1">
      <alignment horizontal="right" vertical="center" shrinkToFit="1"/>
    </xf>
    <xf numFmtId="0" fontId="3" fillId="0" borderId="17" xfId="0" applyFont="1" applyBorder="1" applyAlignment="1">
      <alignment horizontal="center" vertical="top" shrinkToFit="1"/>
    </xf>
    <xf numFmtId="0" fontId="3" fillId="0" borderId="18" xfId="0" applyFont="1" applyBorder="1" applyAlignment="1">
      <alignment horizontal="center" vertical="top" shrinkToFit="1"/>
    </xf>
    <xf numFmtId="0" fontId="3" fillId="0" borderId="11" xfId="0" applyFont="1" applyBorder="1" applyAlignment="1">
      <alignment horizontal="center" vertical="top" shrinkToFit="1"/>
    </xf>
    <xf numFmtId="0" fontId="3" fillId="0" borderId="10" xfId="0" applyFont="1" applyBorder="1" applyAlignment="1">
      <alignment horizontal="center" vertical="top" shrinkToFit="1"/>
    </xf>
    <xf numFmtId="0" fontId="3" fillId="0" borderId="26" xfId="0" applyFont="1" applyBorder="1" applyAlignment="1">
      <alignment horizontal="center" vertical="top" shrinkToFit="1"/>
    </xf>
    <xf numFmtId="0" fontId="3" fillId="0" borderId="13" xfId="0" applyFont="1" applyBorder="1" applyAlignment="1">
      <alignment horizontal="center" vertical="top" shrinkToFit="1"/>
    </xf>
    <xf numFmtId="0" fontId="3" fillId="0" borderId="14" xfId="0" applyFont="1" applyBorder="1" applyAlignment="1">
      <alignment horizontal="center" vertical="top" shrinkToFit="1"/>
    </xf>
    <xf numFmtId="0" fontId="18" fillId="0" borderId="43" xfId="0" applyFont="1" applyBorder="1" applyAlignment="1">
      <alignment horizontal="center" vertical="center" shrinkToFit="1"/>
    </xf>
    <xf numFmtId="0" fontId="4" fillId="0" borderId="43" xfId="0" applyFont="1" applyBorder="1" applyAlignment="1">
      <alignment horizontal="center" vertical="center" shrinkToFit="1"/>
    </xf>
    <xf numFmtId="0" fontId="13" fillId="0" borderId="43" xfId="0" applyFont="1" applyBorder="1" applyAlignment="1">
      <alignment vertical="center" shrinkToFit="1"/>
    </xf>
    <xf numFmtId="0" fontId="13" fillId="0" borderId="44" xfId="0" applyFont="1" applyBorder="1" applyAlignment="1">
      <alignment vertical="center" shrinkToFit="1"/>
    </xf>
    <xf numFmtId="0" fontId="3" fillId="0" borderId="21" xfId="0" applyFont="1" applyBorder="1" applyAlignment="1">
      <alignment horizontal="center" vertical="center" shrinkToFit="1"/>
    </xf>
    <xf numFmtId="0" fontId="3" fillId="0" borderId="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45" xfId="0" applyFont="1" applyBorder="1" applyAlignment="1">
      <alignment horizontal="center" vertical="center" shrinkToFit="1"/>
    </xf>
    <xf numFmtId="0" fontId="13" fillId="0" borderId="38" xfId="0" applyFont="1" applyBorder="1" applyAlignment="1">
      <alignment vertical="center" shrinkToFit="1"/>
    </xf>
    <xf numFmtId="0" fontId="13" fillId="0" borderId="39" xfId="0" applyFont="1" applyBorder="1" applyAlignment="1">
      <alignment vertical="center" shrinkToFit="1"/>
    </xf>
    <xf numFmtId="0" fontId="3" fillId="0" borderId="46"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6" xfId="0" applyFont="1" applyBorder="1" applyAlignment="1">
      <alignment vertical="center" shrinkToFit="1"/>
    </xf>
    <xf numFmtId="0" fontId="2" fillId="0" borderId="47" xfId="0" applyFont="1" applyBorder="1" applyAlignment="1">
      <alignment vertical="center" shrinkToFi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99">
    <dxf>
      <font>
        <color indexed="20"/>
      </font>
      <fill>
        <patternFill>
          <bgColor indexed="45"/>
        </patternFill>
      </fill>
    </dxf>
    <dxf>
      <font>
        <color indexed="20"/>
      </font>
      <fill>
        <patternFill>
          <bgColor indexed="4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strike/>
        <color auto="1"/>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strike/>
        <color auto="1"/>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strike/>
        <color auto="1"/>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strike/>
        <color auto="1"/>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strike/>
        <color auto="1"/>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strike/>
        <color auto="1"/>
      </font>
      <fill>
        <patternFill patternType="none">
          <bgColor indexed="6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strike/>
        <color auto="1"/>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strike/>
        <color auto="1"/>
      </font>
      <fill>
        <patternFill patternType="none">
          <bgColor indexed="65"/>
        </patternFill>
      </fill>
      <border/>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s>
</file>

<file path=xl/drawings/_rels/drawing6.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2</xdr:col>
      <xdr:colOff>47625</xdr:colOff>
      <xdr:row>3</xdr:row>
      <xdr:rowOff>0</xdr:rowOff>
    </xdr:to>
    <xdr:pic>
      <xdr:nvPicPr>
        <xdr:cNvPr id="1" name="Picture 1"/>
        <xdr:cNvPicPr preferRelativeResize="1">
          <a:picLocks noChangeAspect="1"/>
        </xdr:cNvPicPr>
      </xdr:nvPicPr>
      <xdr:blipFill>
        <a:blip r:embed="rId1"/>
        <a:stretch>
          <a:fillRect/>
        </a:stretch>
      </xdr:blipFill>
      <xdr:spPr>
        <a:xfrm>
          <a:off x="304800" y="0"/>
          <a:ext cx="600075" cy="676275"/>
        </a:xfrm>
        <a:prstGeom prst="rect">
          <a:avLst/>
        </a:prstGeom>
        <a:noFill/>
        <a:ln w="9525" cmpd="sng">
          <a:noFill/>
        </a:ln>
      </xdr:spPr>
    </xdr:pic>
    <xdr:clientData/>
  </xdr:twoCellAnchor>
  <xdr:twoCellAnchor>
    <xdr:from>
      <xdr:col>15</xdr:col>
      <xdr:colOff>152400</xdr:colOff>
      <xdr:row>1</xdr:row>
      <xdr:rowOff>19050</xdr:rowOff>
    </xdr:from>
    <xdr:to>
      <xdr:col>16</xdr:col>
      <xdr:colOff>47625</xdr:colOff>
      <xdr:row>1</xdr:row>
      <xdr:rowOff>171450</xdr:rowOff>
    </xdr:to>
    <xdr:sp>
      <xdr:nvSpPr>
        <xdr:cNvPr id="2" name="Object 2" hidden="1"/>
        <xdr:cNvSpPr>
          <a:spLocks/>
        </xdr:cNvSpPr>
      </xdr:nvSpPr>
      <xdr:spPr>
        <a:xfrm>
          <a:off x="7315200" y="314325"/>
          <a:ext cx="3143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35</xdr:row>
      <xdr:rowOff>9525</xdr:rowOff>
    </xdr:from>
    <xdr:to>
      <xdr:col>12</xdr:col>
      <xdr:colOff>0</xdr:colOff>
      <xdr:row>55</xdr:row>
      <xdr:rowOff>57150</xdr:rowOff>
    </xdr:to>
    <xdr:sp>
      <xdr:nvSpPr>
        <xdr:cNvPr id="3" name="Object 1" hidden="1"/>
        <xdr:cNvSpPr>
          <a:spLocks/>
        </xdr:cNvSpPr>
      </xdr:nvSpPr>
      <xdr:spPr>
        <a:xfrm>
          <a:off x="19050" y="6753225"/>
          <a:ext cx="5581650" cy="366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152400</xdr:colOff>
      <xdr:row>1</xdr:row>
      <xdr:rowOff>19050</xdr:rowOff>
    </xdr:from>
    <xdr:to>
      <xdr:col>16</xdr:col>
      <xdr:colOff>47625</xdr:colOff>
      <xdr:row>1</xdr:row>
      <xdr:rowOff>171450</xdr:rowOff>
    </xdr:to>
    <xdr:pic>
      <xdr:nvPicPr>
        <xdr:cNvPr id="4" name="Picture 2"/>
        <xdr:cNvPicPr preferRelativeResize="1">
          <a:picLocks noChangeAspect="1"/>
        </xdr:cNvPicPr>
      </xdr:nvPicPr>
      <xdr:blipFill>
        <a:blip r:embed="rId2"/>
        <a:stretch>
          <a:fillRect/>
        </a:stretch>
      </xdr:blipFill>
      <xdr:spPr>
        <a:xfrm>
          <a:off x="7315200" y="314325"/>
          <a:ext cx="314325" cy="152400"/>
        </a:xfrm>
        <a:prstGeom prst="rect">
          <a:avLst/>
        </a:prstGeom>
        <a:noFill/>
        <a:ln w="9525" cmpd="sng">
          <a:noFill/>
        </a:ln>
      </xdr:spPr>
    </xdr:pic>
    <xdr:clientData/>
  </xdr:twoCellAnchor>
  <xdr:twoCellAnchor>
    <xdr:from>
      <xdr:col>0</xdr:col>
      <xdr:colOff>19050</xdr:colOff>
      <xdr:row>35</xdr:row>
      <xdr:rowOff>9525</xdr:rowOff>
    </xdr:from>
    <xdr:to>
      <xdr:col>12</xdr:col>
      <xdr:colOff>0</xdr:colOff>
      <xdr:row>55</xdr:row>
      <xdr:rowOff>57150</xdr:rowOff>
    </xdr:to>
    <xdr:pic>
      <xdr:nvPicPr>
        <xdr:cNvPr id="5" name="Picture 1"/>
        <xdr:cNvPicPr preferRelativeResize="1">
          <a:picLocks noChangeAspect="1"/>
        </xdr:cNvPicPr>
      </xdr:nvPicPr>
      <xdr:blipFill>
        <a:blip r:embed="rId3"/>
        <a:stretch>
          <a:fillRect/>
        </a:stretch>
      </xdr:blipFill>
      <xdr:spPr>
        <a:xfrm>
          <a:off x="19050" y="6753225"/>
          <a:ext cx="5581650" cy="3667125"/>
        </a:xfrm>
        <a:prstGeom prst="rect">
          <a:avLst/>
        </a:prstGeom>
        <a:noFill/>
        <a:ln w="9525" cmpd="sng">
          <a:noFill/>
        </a:ln>
      </xdr:spPr>
    </xdr:pic>
    <xdr:clientData/>
  </xdr:twoCellAnchor>
  <xdr:twoCellAnchor>
    <xdr:from>
      <xdr:col>15</xdr:col>
      <xdr:colOff>152400</xdr:colOff>
      <xdr:row>1</xdr:row>
      <xdr:rowOff>19050</xdr:rowOff>
    </xdr:from>
    <xdr:to>
      <xdr:col>16</xdr:col>
      <xdr:colOff>47625</xdr:colOff>
      <xdr:row>1</xdr:row>
      <xdr:rowOff>171450</xdr:rowOff>
    </xdr:to>
    <xdr:sp>
      <xdr:nvSpPr>
        <xdr:cNvPr id="6" name="Object 2" hidden="1"/>
        <xdr:cNvSpPr>
          <a:spLocks/>
        </xdr:cNvSpPr>
      </xdr:nvSpPr>
      <xdr:spPr>
        <a:xfrm>
          <a:off x="7315200" y="314325"/>
          <a:ext cx="3143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35</xdr:row>
      <xdr:rowOff>9525</xdr:rowOff>
    </xdr:from>
    <xdr:to>
      <xdr:col>12</xdr:col>
      <xdr:colOff>0</xdr:colOff>
      <xdr:row>55</xdr:row>
      <xdr:rowOff>57150</xdr:rowOff>
    </xdr:to>
    <xdr:sp>
      <xdr:nvSpPr>
        <xdr:cNvPr id="7" name="Object 1" hidden="1"/>
        <xdr:cNvSpPr>
          <a:spLocks/>
        </xdr:cNvSpPr>
      </xdr:nvSpPr>
      <xdr:spPr>
        <a:xfrm>
          <a:off x="19050" y="6753225"/>
          <a:ext cx="5581650" cy="366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152400</xdr:colOff>
      <xdr:row>1</xdr:row>
      <xdr:rowOff>19050</xdr:rowOff>
    </xdr:from>
    <xdr:to>
      <xdr:col>16</xdr:col>
      <xdr:colOff>47625</xdr:colOff>
      <xdr:row>1</xdr:row>
      <xdr:rowOff>171450</xdr:rowOff>
    </xdr:to>
    <xdr:pic>
      <xdr:nvPicPr>
        <xdr:cNvPr id="8" name="Picture 2"/>
        <xdr:cNvPicPr preferRelativeResize="1">
          <a:picLocks noChangeAspect="1"/>
        </xdr:cNvPicPr>
      </xdr:nvPicPr>
      <xdr:blipFill>
        <a:blip r:embed="rId2"/>
        <a:stretch>
          <a:fillRect/>
        </a:stretch>
      </xdr:blipFill>
      <xdr:spPr>
        <a:xfrm>
          <a:off x="7315200" y="314325"/>
          <a:ext cx="314325" cy="152400"/>
        </a:xfrm>
        <a:prstGeom prst="rect">
          <a:avLst/>
        </a:prstGeom>
        <a:noFill/>
        <a:ln w="9525" cmpd="sng">
          <a:noFill/>
        </a:ln>
      </xdr:spPr>
    </xdr:pic>
    <xdr:clientData/>
  </xdr:twoCellAnchor>
  <xdr:twoCellAnchor>
    <xdr:from>
      <xdr:col>0</xdr:col>
      <xdr:colOff>19050</xdr:colOff>
      <xdr:row>35</xdr:row>
      <xdr:rowOff>9525</xdr:rowOff>
    </xdr:from>
    <xdr:to>
      <xdr:col>12</xdr:col>
      <xdr:colOff>0</xdr:colOff>
      <xdr:row>55</xdr:row>
      <xdr:rowOff>57150</xdr:rowOff>
    </xdr:to>
    <xdr:pic>
      <xdr:nvPicPr>
        <xdr:cNvPr id="9" name="Picture 1"/>
        <xdr:cNvPicPr preferRelativeResize="1">
          <a:picLocks noChangeAspect="1"/>
        </xdr:cNvPicPr>
      </xdr:nvPicPr>
      <xdr:blipFill>
        <a:blip r:embed="rId3"/>
        <a:stretch>
          <a:fillRect/>
        </a:stretch>
      </xdr:blipFill>
      <xdr:spPr>
        <a:xfrm>
          <a:off x="19050" y="6753225"/>
          <a:ext cx="5581650" cy="3667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2</xdr:col>
      <xdr:colOff>47625</xdr:colOff>
      <xdr:row>3</xdr:row>
      <xdr:rowOff>0</xdr:rowOff>
    </xdr:to>
    <xdr:pic>
      <xdr:nvPicPr>
        <xdr:cNvPr id="1" name="Picture 1"/>
        <xdr:cNvPicPr preferRelativeResize="1">
          <a:picLocks noChangeAspect="1"/>
        </xdr:cNvPicPr>
      </xdr:nvPicPr>
      <xdr:blipFill>
        <a:blip r:embed="rId1"/>
        <a:stretch>
          <a:fillRect/>
        </a:stretch>
      </xdr:blipFill>
      <xdr:spPr>
        <a:xfrm>
          <a:off x="304800" y="0"/>
          <a:ext cx="600075" cy="676275"/>
        </a:xfrm>
        <a:prstGeom prst="rect">
          <a:avLst/>
        </a:prstGeom>
        <a:noFill/>
        <a:ln w="9525" cmpd="sng">
          <a:noFill/>
        </a:ln>
      </xdr:spPr>
    </xdr:pic>
    <xdr:clientData/>
  </xdr:twoCellAnchor>
  <xdr:twoCellAnchor>
    <xdr:from>
      <xdr:col>15</xdr:col>
      <xdr:colOff>152400</xdr:colOff>
      <xdr:row>1</xdr:row>
      <xdr:rowOff>19050</xdr:rowOff>
    </xdr:from>
    <xdr:to>
      <xdr:col>16</xdr:col>
      <xdr:colOff>47625</xdr:colOff>
      <xdr:row>1</xdr:row>
      <xdr:rowOff>171450</xdr:rowOff>
    </xdr:to>
    <xdr:sp>
      <xdr:nvSpPr>
        <xdr:cNvPr id="2" name="Object 2" hidden="1"/>
        <xdr:cNvSpPr>
          <a:spLocks/>
        </xdr:cNvSpPr>
      </xdr:nvSpPr>
      <xdr:spPr>
        <a:xfrm>
          <a:off x="7315200" y="314325"/>
          <a:ext cx="3143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35</xdr:row>
      <xdr:rowOff>9525</xdr:rowOff>
    </xdr:from>
    <xdr:to>
      <xdr:col>12</xdr:col>
      <xdr:colOff>0</xdr:colOff>
      <xdr:row>55</xdr:row>
      <xdr:rowOff>57150</xdr:rowOff>
    </xdr:to>
    <xdr:sp>
      <xdr:nvSpPr>
        <xdr:cNvPr id="3" name="Object 1" hidden="1"/>
        <xdr:cNvSpPr>
          <a:spLocks/>
        </xdr:cNvSpPr>
      </xdr:nvSpPr>
      <xdr:spPr>
        <a:xfrm>
          <a:off x="19050" y="6753225"/>
          <a:ext cx="5581650" cy="366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152400</xdr:colOff>
      <xdr:row>1</xdr:row>
      <xdr:rowOff>19050</xdr:rowOff>
    </xdr:from>
    <xdr:to>
      <xdr:col>16</xdr:col>
      <xdr:colOff>47625</xdr:colOff>
      <xdr:row>1</xdr:row>
      <xdr:rowOff>171450</xdr:rowOff>
    </xdr:to>
    <xdr:pic>
      <xdr:nvPicPr>
        <xdr:cNvPr id="4" name="Picture 2"/>
        <xdr:cNvPicPr preferRelativeResize="1">
          <a:picLocks noChangeAspect="1"/>
        </xdr:cNvPicPr>
      </xdr:nvPicPr>
      <xdr:blipFill>
        <a:blip r:embed="rId2"/>
        <a:stretch>
          <a:fillRect/>
        </a:stretch>
      </xdr:blipFill>
      <xdr:spPr>
        <a:xfrm>
          <a:off x="7315200" y="314325"/>
          <a:ext cx="314325" cy="152400"/>
        </a:xfrm>
        <a:prstGeom prst="rect">
          <a:avLst/>
        </a:prstGeom>
        <a:noFill/>
        <a:ln w="9525" cmpd="sng">
          <a:noFill/>
        </a:ln>
      </xdr:spPr>
    </xdr:pic>
    <xdr:clientData/>
  </xdr:twoCellAnchor>
  <xdr:twoCellAnchor>
    <xdr:from>
      <xdr:col>0</xdr:col>
      <xdr:colOff>19050</xdr:colOff>
      <xdr:row>35</xdr:row>
      <xdr:rowOff>9525</xdr:rowOff>
    </xdr:from>
    <xdr:to>
      <xdr:col>12</xdr:col>
      <xdr:colOff>0</xdr:colOff>
      <xdr:row>55</xdr:row>
      <xdr:rowOff>57150</xdr:rowOff>
    </xdr:to>
    <xdr:pic>
      <xdr:nvPicPr>
        <xdr:cNvPr id="5" name="Picture 1"/>
        <xdr:cNvPicPr preferRelativeResize="1">
          <a:picLocks noChangeAspect="1"/>
        </xdr:cNvPicPr>
      </xdr:nvPicPr>
      <xdr:blipFill>
        <a:blip r:embed="rId3"/>
        <a:stretch>
          <a:fillRect/>
        </a:stretch>
      </xdr:blipFill>
      <xdr:spPr>
        <a:xfrm>
          <a:off x="19050" y="6753225"/>
          <a:ext cx="5581650" cy="3667125"/>
        </a:xfrm>
        <a:prstGeom prst="rect">
          <a:avLst/>
        </a:prstGeom>
        <a:noFill/>
        <a:ln w="9525" cmpd="sng">
          <a:noFill/>
        </a:ln>
      </xdr:spPr>
    </xdr:pic>
    <xdr:clientData/>
  </xdr:twoCellAnchor>
  <xdr:twoCellAnchor>
    <xdr:from>
      <xdr:col>15</xdr:col>
      <xdr:colOff>152400</xdr:colOff>
      <xdr:row>1</xdr:row>
      <xdr:rowOff>19050</xdr:rowOff>
    </xdr:from>
    <xdr:to>
      <xdr:col>16</xdr:col>
      <xdr:colOff>47625</xdr:colOff>
      <xdr:row>1</xdr:row>
      <xdr:rowOff>171450</xdr:rowOff>
    </xdr:to>
    <xdr:sp>
      <xdr:nvSpPr>
        <xdr:cNvPr id="6" name="Object 2" hidden="1"/>
        <xdr:cNvSpPr>
          <a:spLocks/>
        </xdr:cNvSpPr>
      </xdr:nvSpPr>
      <xdr:spPr>
        <a:xfrm>
          <a:off x="7315200" y="314325"/>
          <a:ext cx="3143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35</xdr:row>
      <xdr:rowOff>9525</xdr:rowOff>
    </xdr:from>
    <xdr:to>
      <xdr:col>12</xdr:col>
      <xdr:colOff>0</xdr:colOff>
      <xdr:row>55</xdr:row>
      <xdr:rowOff>57150</xdr:rowOff>
    </xdr:to>
    <xdr:sp>
      <xdr:nvSpPr>
        <xdr:cNvPr id="7" name="Object 1" hidden="1"/>
        <xdr:cNvSpPr>
          <a:spLocks/>
        </xdr:cNvSpPr>
      </xdr:nvSpPr>
      <xdr:spPr>
        <a:xfrm>
          <a:off x="19050" y="6753225"/>
          <a:ext cx="5581650" cy="366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152400</xdr:colOff>
      <xdr:row>1</xdr:row>
      <xdr:rowOff>19050</xdr:rowOff>
    </xdr:from>
    <xdr:to>
      <xdr:col>16</xdr:col>
      <xdr:colOff>47625</xdr:colOff>
      <xdr:row>1</xdr:row>
      <xdr:rowOff>171450</xdr:rowOff>
    </xdr:to>
    <xdr:pic>
      <xdr:nvPicPr>
        <xdr:cNvPr id="8" name="Picture 2"/>
        <xdr:cNvPicPr preferRelativeResize="1">
          <a:picLocks noChangeAspect="1"/>
        </xdr:cNvPicPr>
      </xdr:nvPicPr>
      <xdr:blipFill>
        <a:blip r:embed="rId2"/>
        <a:stretch>
          <a:fillRect/>
        </a:stretch>
      </xdr:blipFill>
      <xdr:spPr>
        <a:xfrm>
          <a:off x="7315200" y="314325"/>
          <a:ext cx="314325" cy="152400"/>
        </a:xfrm>
        <a:prstGeom prst="rect">
          <a:avLst/>
        </a:prstGeom>
        <a:noFill/>
        <a:ln w="9525" cmpd="sng">
          <a:noFill/>
        </a:ln>
      </xdr:spPr>
    </xdr:pic>
    <xdr:clientData/>
  </xdr:twoCellAnchor>
  <xdr:twoCellAnchor>
    <xdr:from>
      <xdr:col>0</xdr:col>
      <xdr:colOff>19050</xdr:colOff>
      <xdr:row>35</xdr:row>
      <xdr:rowOff>9525</xdr:rowOff>
    </xdr:from>
    <xdr:to>
      <xdr:col>12</xdr:col>
      <xdr:colOff>0</xdr:colOff>
      <xdr:row>55</xdr:row>
      <xdr:rowOff>57150</xdr:rowOff>
    </xdr:to>
    <xdr:pic>
      <xdr:nvPicPr>
        <xdr:cNvPr id="9" name="Picture 1"/>
        <xdr:cNvPicPr preferRelativeResize="1">
          <a:picLocks noChangeAspect="1"/>
        </xdr:cNvPicPr>
      </xdr:nvPicPr>
      <xdr:blipFill>
        <a:blip r:embed="rId3"/>
        <a:stretch>
          <a:fillRect/>
        </a:stretch>
      </xdr:blipFill>
      <xdr:spPr>
        <a:xfrm>
          <a:off x="19050" y="6753225"/>
          <a:ext cx="5581650" cy="3667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2</xdr:col>
      <xdr:colOff>47625</xdr:colOff>
      <xdr:row>3</xdr:row>
      <xdr:rowOff>0</xdr:rowOff>
    </xdr:to>
    <xdr:pic>
      <xdr:nvPicPr>
        <xdr:cNvPr id="1" name="Picture 1"/>
        <xdr:cNvPicPr preferRelativeResize="1">
          <a:picLocks noChangeAspect="1"/>
        </xdr:cNvPicPr>
      </xdr:nvPicPr>
      <xdr:blipFill>
        <a:blip r:embed="rId1"/>
        <a:stretch>
          <a:fillRect/>
        </a:stretch>
      </xdr:blipFill>
      <xdr:spPr>
        <a:xfrm>
          <a:off x="304800" y="0"/>
          <a:ext cx="600075" cy="676275"/>
        </a:xfrm>
        <a:prstGeom prst="rect">
          <a:avLst/>
        </a:prstGeom>
        <a:noFill/>
        <a:ln w="9525" cmpd="sng">
          <a:noFill/>
        </a:ln>
      </xdr:spPr>
    </xdr:pic>
    <xdr:clientData/>
  </xdr:twoCellAnchor>
  <xdr:twoCellAnchor>
    <xdr:from>
      <xdr:col>15</xdr:col>
      <xdr:colOff>152400</xdr:colOff>
      <xdr:row>1</xdr:row>
      <xdr:rowOff>19050</xdr:rowOff>
    </xdr:from>
    <xdr:to>
      <xdr:col>16</xdr:col>
      <xdr:colOff>47625</xdr:colOff>
      <xdr:row>1</xdr:row>
      <xdr:rowOff>171450</xdr:rowOff>
    </xdr:to>
    <xdr:sp>
      <xdr:nvSpPr>
        <xdr:cNvPr id="2" name="Object 2" hidden="1"/>
        <xdr:cNvSpPr>
          <a:spLocks/>
        </xdr:cNvSpPr>
      </xdr:nvSpPr>
      <xdr:spPr>
        <a:xfrm>
          <a:off x="7315200" y="314325"/>
          <a:ext cx="3143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35</xdr:row>
      <xdr:rowOff>9525</xdr:rowOff>
    </xdr:from>
    <xdr:to>
      <xdr:col>12</xdr:col>
      <xdr:colOff>0</xdr:colOff>
      <xdr:row>55</xdr:row>
      <xdr:rowOff>57150</xdr:rowOff>
    </xdr:to>
    <xdr:sp>
      <xdr:nvSpPr>
        <xdr:cNvPr id="3" name="Object 1" hidden="1"/>
        <xdr:cNvSpPr>
          <a:spLocks/>
        </xdr:cNvSpPr>
      </xdr:nvSpPr>
      <xdr:spPr>
        <a:xfrm>
          <a:off x="19050" y="6753225"/>
          <a:ext cx="5581650" cy="366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152400</xdr:colOff>
      <xdr:row>1</xdr:row>
      <xdr:rowOff>19050</xdr:rowOff>
    </xdr:from>
    <xdr:to>
      <xdr:col>16</xdr:col>
      <xdr:colOff>47625</xdr:colOff>
      <xdr:row>1</xdr:row>
      <xdr:rowOff>171450</xdr:rowOff>
    </xdr:to>
    <xdr:pic>
      <xdr:nvPicPr>
        <xdr:cNvPr id="4" name="Picture 2"/>
        <xdr:cNvPicPr preferRelativeResize="1">
          <a:picLocks noChangeAspect="1"/>
        </xdr:cNvPicPr>
      </xdr:nvPicPr>
      <xdr:blipFill>
        <a:blip r:embed="rId2"/>
        <a:stretch>
          <a:fillRect/>
        </a:stretch>
      </xdr:blipFill>
      <xdr:spPr>
        <a:xfrm>
          <a:off x="7315200" y="314325"/>
          <a:ext cx="314325" cy="152400"/>
        </a:xfrm>
        <a:prstGeom prst="rect">
          <a:avLst/>
        </a:prstGeom>
        <a:noFill/>
        <a:ln w="9525" cmpd="sng">
          <a:noFill/>
        </a:ln>
      </xdr:spPr>
    </xdr:pic>
    <xdr:clientData/>
  </xdr:twoCellAnchor>
  <xdr:twoCellAnchor>
    <xdr:from>
      <xdr:col>0</xdr:col>
      <xdr:colOff>19050</xdr:colOff>
      <xdr:row>35</xdr:row>
      <xdr:rowOff>9525</xdr:rowOff>
    </xdr:from>
    <xdr:to>
      <xdr:col>12</xdr:col>
      <xdr:colOff>0</xdr:colOff>
      <xdr:row>55</xdr:row>
      <xdr:rowOff>57150</xdr:rowOff>
    </xdr:to>
    <xdr:pic>
      <xdr:nvPicPr>
        <xdr:cNvPr id="5" name="Picture 1"/>
        <xdr:cNvPicPr preferRelativeResize="1">
          <a:picLocks noChangeAspect="1"/>
        </xdr:cNvPicPr>
      </xdr:nvPicPr>
      <xdr:blipFill>
        <a:blip r:embed="rId3"/>
        <a:stretch>
          <a:fillRect/>
        </a:stretch>
      </xdr:blipFill>
      <xdr:spPr>
        <a:xfrm>
          <a:off x="19050" y="6753225"/>
          <a:ext cx="5581650" cy="3667125"/>
        </a:xfrm>
        <a:prstGeom prst="rect">
          <a:avLst/>
        </a:prstGeom>
        <a:noFill/>
        <a:ln w="9525" cmpd="sng">
          <a:noFill/>
        </a:ln>
      </xdr:spPr>
    </xdr:pic>
    <xdr:clientData/>
  </xdr:twoCellAnchor>
  <xdr:twoCellAnchor>
    <xdr:from>
      <xdr:col>15</xdr:col>
      <xdr:colOff>152400</xdr:colOff>
      <xdr:row>1</xdr:row>
      <xdr:rowOff>19050</xdr:rowOff>
    </xdr:from>
    <xdr:to>
      <xdr:col>16</xdr:col>
      <xdr:colOff>47625</xdr:colOff>
      <xdr:row>1</xdr:row>
      <xdr:rowOff>171450</xdr:rowOff>
    </xdr:to>
    <xdr:sp>
      <xdr:nvSpPr>
        <xdr:cNvPr id="6" name="Object 2" hidden="1"/>
        <xdr:cNvSpPr>
          <a:spLocks/>
        </xdr:cNvSpPr>
      </xdr:nvSpPr>
      <xdr:spPr>
        <a:xfrm>
          <a:off x="7315200" y="314325"/>
          <a:ext cx="3143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35</xdr:row>
      <xdr:rowOff>9525</xdr:rowOff>
    </xdr:from>
    <xdr:to>
      <xdr:col>12</xdr:col>
      <xdr:colOff>0</xdr:colOff>
      <xdr:row>55</xdr:row>
      <xdr:rowOff>57150</xdr:rowOff>
    </xdr:to>
    <xdr:sp>
      <xdr:nvSpPr>
        <xdr:cNvPr id="7" name="Object 1" hidden="1"/>
        <xdr:cNvSpPr>
          <a:spLocks/>
        </xdr:cNvSpPr>
      </xdr:nvSpPr>
      <xdr:spPr>
        <a:xfrm>
          <a:off x="19050" y="6753225"/>
          <a:ext cx="5581650" cy="366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152400</xdr:colOff>
      <xdr:row>1</xdr:row>
      <xdr:rowOff>19050</xdr:rowOff>
    </xdr:from>
    <xdr:to>
      <xdr:col>16</xdr:col>
      <xdr:colOff>47625</xdr:colOff>
      <xdr:row>1</xdr:row>
      <xdr:rowOff>171450</xdr:rowOff>
    </xdr:to>
    <xdr:pic>
      <xdr:nvPicPr>
        <xdr:cNvPr id="8" name="Picture 2"/>
        <xdr:cNvPicPr preferRelativeResize="1">
          <a:picLocks noChangeAspect="1"/>
        </xdr:cNvPicPr>
      </xdr:nvPicPr>
      <xdr:blipFill>
        <a:blip r:embed="rId2"/>
        <a:stretch>
          <a:fillRect/>
        </a:stretch>
      </xdr:blipFill>
      <xdr:spPr>
        <a:xfrm>
          <a:off x="7315200" y="314325"/>
          <a:ext cx="314325" cy="152400"/>
        </a:xfrm>
        <a:prstGeom prst="rect">
          <a:avLst/>
        </a:prstGeom>
        <a:noFill/>
        <a:ln w="9525" cmpd="sng">
          <a:noFill/>
        </a:ln>
      </xdr:spPr>
    </xdr:pic>
    <xdr:clientData/>
  </xdr:twoCellAnchor>
  <xdr:twoCellAnchor>
    <xdr:from>
      <xdr:col>0</xdr:col>
      <xdr:colOff>19050</xdr:colOff>
      <xdr:row>35</xdr:row>
      <xdr:rowOff>9525</xdr:rowOff>
    </xdr:from>
    <xdr:to>
      <xdr:col>12</xdr:col>
      <xdr:colOff>0</xdr:colOff>
      <xdr:row>55</xdr:row>
      <xdr:rowOff>57150</xdr:rowOff>
    </xdr:to>
    <xdr:pic>
      <xdr:nvPicPr>
        <xdr:cNvPr id="9" name="Picture 1"/>
        <xdr:cNvPicPr preferRelativeResize="1">
          <a:picLocks noChangeAspect="1"/>
        </xdr:cNvPicPr>
      </xdr:nvPicPr>
      <xdr:blipFill>
        <a:blip r:embed="rId3"/>
        <a:stretch>
          <a:fillRect/>
        </a:stretch>
      </xdr:blipFill>
      <xdr:spPr>
        <a:xfrm>
          <a:off x="19050" y="6753225"/>
          <a:ext cx="5581650" cy="3667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2</xdr:col>
      <xdr:colOff>47625</xdr:colOff>
      <xdr:row>3</xdr:row>
      <xdr:rowOff>0</xdr:rowOff>
    </xdr:to>
    <xdr:pic>
      <xdr:nvPicPr>
        <xdr:cNvPr id="1" name="Picture 1"/>
        <xdr:cNvPicPr preferRelativeResize="1">
          <a:picLocks noChangeAspect="1"/>
        </xdr:cNvPicPr>
      </xdr:nvPicPr>
      <xdr:blipFill>
        <a:blip r:embed="rId1"/>
        <a:stretch>
          <a:fillRect/>
        </a:stretch>
      </xdr:blipFill>
      <xdr:spPr>
        <a:xfrm>
          <a:off x="304800" y="0"/>
          <a:ext cx="600075" cy="676275"/>
        </a:xfrm>
        <a:prstGeom prst="rect">
          <a:avLst/>
        </a:prstGeom>
        <a:noFill/>
        <a:ln w="9525" cmpd="sng">
          <a:noFill/>
        </a:ln>
      </xdr:spPr>
    </xdr:pic>
    <xdr:clientData/>
  </xdr:twoCellAnchor>
  <xdr:twoCellAnchor>
    <xdr:from>
      <xdr:col>15</xdr:col>
      <xdr:colOff>152400</xdr:colOff>
      <xdr:row>1</xdr:row>
      <xdr:rowOff>19050</xdr:rowOff>
    </xdr:from>
    <xdr:to>
      <xdr:col>16</xdr:col>
      <xdr:colOff>47625</xdr:colOff>
      <xdr:row>1</xdr:row>
      <xdr:rowOff>171450</xdr:rowOff>
    </xdr:to>
    <xdr:sp>
      <xdr:nvSpPr>
        <xdr:cNvPr id="2" name="Object 2" hidden="1"/>
        <xdr:cNvSpPr>
          <a:spLocks/>
        </xdr:cNvSpPr>
      </xdr:nvSpPr>
      <xdr:spPr>
        <a:xfrm>
          <a:off x="7315200" y="314325"/>
          <a:ext cx="3143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35</xdr:row>
      <xdr:rowOff>9525</xdr:rowOff>
    </xdr:from>
    <xdr:to>
      <xdr:col>12</xdr:col>
      <xdr:colOff>0</xdr:colOff>
      <xdr:row>55</xdr:row>
      <xdr:rowOff>57150</xdr:rowOff>
    </xdr:to>
    <xdr:sp>
      <xdr:nvSpPr>
        <xdr:cNvPr id="3" name="Object 1" hidden="1"/>
        <xdr:cNvSpPr>
          <a:spLocks/>
        </xdr:cNvSpPr>
      </xdr:nvSpPr>
      <xdr:spPr>
        <a:xfrm>
          <a:off x="19050" y="6753225"/>
          <a:ext cx="5581650" cy="366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152400</xdr:colOff>
      <xdr:row>1</xdr:row>
      <xdr:rowOff>19050</xdr:rowOff>
    </xdr:from>
    <xdr:to>
      <xdr:col>16</xdr:col>
      <xdr:colOff>47625</xdr:colOff>
      <xdr:row>1</xdr:row>
      <xdr:rowOff>171450</xdr:rowOff>
    </xdr:to>
    <xdr:pic>
      <xdr:nvPicPr>
        <xdr:cNvPr id="4" name="Picture 2"/>
        <xdr:cNvPicPr preferRelativeResize="1">
          <a:picLocks noChangeAspect="1"/>
        </xdr:cNvPicPr>
      </xdr:nvPicPr>
      <xdr:blipFill>
        <a:blip r:embed="rId2"/>
        <a:stretch>
          <a:fillRect/>
        </a:stretch>
      </xdr:blipFill>
      <xdr:spPr>
        <a:xfrm>
          <a:off x="7315200" y="314325"/>
          <a:ext cx="314325" cy="152400"/>
        </a:xfrm>
        <a:prstGeom prst="rect">
          <a:avLst/>
        </a:prstGeom>
        <a:noFill/>
        <a:ln w="9525" cmpd="sng">
          <a:noFill/>
        </a:ln>
      </xdr:spPr>
    </xdr:pic>
    <xdr:clientData/>
  </xdr:twoCellAnchor>
  <xdr:twoCellAnchor>
    <xdr:from>
      <xdr:col>0</xdr:col>
      <xdr:colOff>19050</xdr:colOff>
      <xdr:row>35</xdr:row>
      <xdr:rowOff>9525</xdr:rowOff>
    </xdr:from>
    <xdr:to>
      <xdr:col>12</xdr:col>
      <xdr:colOff>0</xdr:colOff>
      <xdr:row>55</xdr:row>
      <xdr:rowOff>57150</xdr:rowOff>
    </xdr:to>
    <xdr:pic>
      <xdr:nvPicPr>
        <xdr:cNvPr id="5" name="Picture 1"/>
        <xdr:cNvPicPr preferRelativeResize="1">
          <a:picLocks noChangeAspect="1"/>
        </xdr:cNvPicPr>
      </xdr:nvPicPr>
      <xdr:blipFill>
        <a:blip r:embed="rId3"/>
        <a:stretch>
          <a:fillRect/>
        </a:stretch>
      </xdr:blipFill>
      <xdr:spPr>
        <a:xfrm>
          <a:off x="19050" y="6753225"/>
          <a:ext cx="5581650" cy="3667125"/>
        </a:xfrm>
        <a:prstGeom prst="rect">
          <a:avLst/>
        </a:prstGeom>
        <a:noFill/>
        <a:ln w="9525" cmpd="sng">
          <a:noFill/>
        </a:ln>
      </xdr:spPr>
    </xdr:pic>
    <xdr:clientData/>
  </xdr:twoCellAnchor>
  <xdr:twoCellAnchor>
    <xdr:from>
      <xdr:col>15</xdr:col>
      <xdr:colOff>152400</xdr:colOff>
      <xdr:row>1</xdr:row>
      <xdr:rowOff>19050</xdr:rowOff>
    </xdr:from>
    <xdr:to>
      <xdr:col>16</xdr:col>
      <xdr:colOff>47625</xdr:colOff>
      <xdr:row>1</xdr:row>
      <xdr:rowOff>171450</xdr:rowOff>
    </xdr:to>
    <xdr:sp>
      <xdr:nvSpPr>
        <xdr:cNvPr id="6" name="Object 2" hidden="1"/>
        <xdr:cNvSpPr>
          <a:spLocks/>
        </xdr:cNvSpPr>
      </xdr:nvSpPr>
      <xdr:spPr>
        <a:xfrm>
          <a:off x="7315200" y="314325"/>
          <a:ext cx="3143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35</xdr:row>
      <xdr:rowOff>9525</xdr:rowOff>
    </xdr:from>
    <xdr:to>
      <xdr:col>12</xdr:col>
      <xdr:colOff>0</xdr:colOff>
      <xdr:row>55</xdr:row>
      <xdr:rowOff>57150</xdr:rowOff>
    </xdr:to>
    <xdr:sp>
      <xdr:nvSpPr>
        <xdr:cNvPr id="7" name="Object 1" hidden="1"/>
        <xdr:cNvSpPr>
          <a:spLocks/>
        </xdr:cNvSpPr>
      </xdr:nvSpPr>
      <xdr:spPr>
        <a:xfrm>
          <a:off x="19050" y="6753225"/>
          <a:ext cx="5581650" cy="366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152400</xdr:colOff>
      <xdr:row>1</xdr:row>
      <xdr:rowOff>19050</xdr:rowOff>
    </xdr:from>
    <xdr:to>
      <xdr:col>16</xdr:col>
      <xdr:colOff>47625</xdr:colOff>
      <xdr:row>1</xdr:row>
      <xdr:rowOff>171450</xdr:rowOff>
    </xdr:to>
    <xdr:pic>
      <xdr:nvPicPr>
        <xdr:cNvPr id="8" name="Picture 2"/>
        <xdr:cNvPicPr preferRelativeResize="1">
          <a:picLocks noChangeAspect="1"/>
        </xdr:cNvPicPr>
      </xdr:nvPicPr>
      <xdr:blipFill>
        <a:blip r:embed="rId2"/>
        <a:stretch>
          <a:fillRect/>
        </a:stretch>
      </xdr:blipFill>
      <xdr:spPr>
        <a:xfrm>
          <a:off x="7315200" y="314325"/>
          <a:ext cx="314325" cy="152400"/>
        </a:xfrm>
        <a:prstGeom prst="rect">
          <a:avLst/>
        </a:prstGeom>
        <a:noFill/>
        <a:ln w="9525" cmpd="sng">
          <a:noFill/>
        </a:ln>
      </xdr:spPr>
    </xdr:pic>
    <xdr:clientData/>
  </xdr:twoCellAnchor>
  <xdr:twoCellAnchor>
    <xdr:from>
      <xdr:col>0</xdr:col>
      <xdr:colOff>19050</xdr:colOff>
      <xdr:row>35</xdr:row>
      <xdr:rowOff>9525</xdr:rowOff>
    </xdr:from>
    <xdr:to>
      <xdr:col>12</xdr:col>
      <xdr:colOff>0</xdr:colOff>
      <xdr:row>55</xdr:row>
      <xdr:rowOff>57150</xdr:rowOff>
    </xdr:to>
    <xdr:pic>
      <xdr:nvPicPr>
        <xdr:cNvPr id="9" name="Picture 1"/>
        <xdr:cNvPicPr preferRelativeResize="1">
          <a:picLocks noChangeAspect="1"/>
        </xdr:cNvPicPr>
      </xdr:nvPicPr>
      <xdr:blipFill>
        <a:blip r:embed="rId3"/>
        <a:stretch>
          <a:fillRect/>
        </a:stretch>
      </xdr:blipFill>
      <xdr:spPr>
        <a:xfrm>
          <a:off x="19050" y="6753225"/>
          <a:ext cx="5581650" cy="3667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2</xdr:col>
      <xdr:colOff>47625</xdr:colOff>
      <xdr:row>3</xdr:row>
      <xdr:rowOff>0</xdr:rowOff>
    </xdr:to>
    <xdr:pic>
      <xdr:nvPicPr>
        <xdr:cNvPr id="1" name="Picture 1"/>
        <xdr:cNvPicPr preferRelativeResize="1">
          <a:picLocks noChangeAspect="1"/>
        </xdr:cNvPicPr>
      </xdr:nvPicPr>
      <xdr:blipFill>
        <a:blip r:embed="rId1"/>
        <a:stretch>
          <a:fillRect/>
        </a:stretch>
      </xdr:blipFill>
      <xdr:spPr>
        <a:xfrm>
          <a:off x="304800" y="0"/>
          <a:ext cx="600075" cy="676275"/>
        </a:xfrm>
        <a:prstGeom prst="rect">
          <a:avLst/>
        </a:prstGeom>
        <a:noFill/>
        <a:ln w="9525" cmpd="sng">
          <a:noFill/>
        </a:ln>
      </xdr:spPr>
    </xdr:pic>
    <xdr:clientData/>
  </xdr:twoCellAnchor>
  <xdr:twoCellAnchor>
    <xdr:from>
      <xdr:col>15</xdr:col>
      <xdr:colOff>152400</xdr:colOff>
      <xdr:row>1</xdr:row>
      <xdr:rowOff>19050</xdr:rowOff>
    </xdr:from>
    <xdr:to>
      <xdr:col>16</xdr:col>
      <xdr:colOff>47625</xdr:colOff>
      <xdr:row>1</xdr:row>
      <xdr:rowOff>171450</xdr:rowOff>
    </xdr:to>
    <xdr:sp>
      <xdr:nvSpPr>
        <xdr:cNvPr id="2" name="Object 2" hidden="1"/>
        <xdr:cNvSpPr>
          <a:spLocks/>
        </xdr:cNvSpPr>
      </xdr:nvSpPr>
      <xdr:spPr>
        <a:xfrm>
          <a:off x="7315200" y="314325"/>
          <a:ext cx="3143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35</xdr:row>
      <xdr:rowOff>9525</xdr:rowOff>
    </xdr:from>
    <xdr:to>
      <xdr:col>12</xdr:col>
      <xdr:colOff>0</xdr:colOff>
      <xdr:row>55</xdr:row>
      <xdr:rowOff>57150</xdr:rowOff>
    </xdr:to>
    <xdr:sp>
      <xdr:nvSpPr>
        <xdr:cNvPr id="3" name="Object 1" hidden="1"/>
        <xdr:cNvSpPr>
          <a:spLocks/>
        </xdr:cNvSpPr>
      </xdr:nvSpPr>
      <xdr:spPr>
        <a:xfrm>
          <a:off x="19050" y="6753225"/>
          <a:ext cx="5581650" cy="366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152400</xdr:colOff>
      <xdr:row>1</xdr:row>
      <xdr:rowOff>19050</xdr:rowOff>
    </xdr:from>
    <xdr:to>
      <xdr:col>16</xdr:col>
      <xdr:colOff>47625</xdr:colOff>
      <xdr:row>1</xdr:row>
      <xdr:rowOff>171450</xdr:rowOff>
    </xdr:to>
    <xdr:pic>
      <xdr:nvPicPr>
        <xdr:cNvPr id="4" name="Picture 2"/>
        <xdr:cNvPicPr preferRelativeResize="1">
          <a:picLocks noChangeAspect="1"/>
        </xdr:cNvPicPr>
      </xdr:nvPicPr>
      <xdr:blipFill>
        <a:blip r:embed="rId2"/>
        <a:stretch>
          <a:fillRect/>
        </a:stretch>
      </xdr:blipFill>
      <xdr:spPr>
        <a:xfrm>
          <a:off x="7315200" y="314325"/>
          <a:ext cx="314325" cy="152400"/>
        </a:xfrm>
        <a:prstGeom prst="rect">
          <a:avLst/>
        </a:prstGeom>
        <a:noFill/>
        <a:ln w="9525" cmpd="sng">
          <a:noFill/>
        </a:ln>
      </xdr:spPr>
    </xdr:pic>
    <xdr:clientData/>
  </xdr:twoCellAnchor>
  <xdr:twoCellAnchor>
    <xdr:from>
      <xdr:col>0</xdr:col>
      <xdr:colOff>19050</xdr:colOff>
      <xdr:row>35</xdr:row>
      <xdr:rowOff>9525</xdr:rowOff>
    </xdr:from>
    <xdr:to>
      <xdr:col>12</xdr:col>
      <xdr:colOff>0</xdr:colOff>
      <xdr:row>55</xdr:row>
      <xdr:rowOff>57150</xdr:rowOff>
    </xdr:to>
    <xdr:pic>
      <xdr:nvPicPr>
        <xdr:cNvPr id="5" name="Picture 1"/>
        <xdr:cNvPicPr preferRelativeResize="1">
          <a:picLocks noChangeAspect="1"/>
        </xdr:cNvPicPr>
      </xdr:nvPicPr>
      <xdr:blipFill>
        <a:blip r:embed="rId3"/>
        <a:stretch>
          <a:fillRect/>
        </a:stretch>
      </xdr:blipFill>
      <xdr:spPr>
        <a:xfrm>
          <a:off x="19050" y="6753225"/>
          <a:ext cx="5581650" cy="3667125"/>
        </a:xfrm>
        <a:prstGeom prst="rect">
          <a:avLst/>
        </a:prstGeom>
        <a:noFill/>
        <a:ln w="9525" cmpd="sng">
          <a:noFill/>
        </a:ln>
      </xdr:spPr>
    </xdr:pic>
    <xdr:clientData/>
  </xdr:twoCellAnchor>
  <xdr:twoCellAnchor>
    <xdr:from>
      <xdr:col>15</xdr:col>
      <xdr:colOff>152400</xdr:colOff>
      <xdr:row>1</xdr:row>
      <xdr:rowOff>19050</xdr:rowOff>
    </xdr:from>
    <xdr:to>
      <xdr:col>16</xdr:col>
      <xdr:colOff>47625</xdr:colOff>
      <xdr:row>1</xdr:row>
      <xdr:rowOff>171450</xdr:rowOff>
    </xdr:to>
    <xdr:sp>
      <xdr:nvSpPr>
        <xdr:cNvPr id="6" name="Object 2" hidden="1"/>
        <xdr:cNvSpPr>
          <a:spLocks/>
        </xdr:cNvSpPr>
      </xdr:nvSpPr>
      <xdr:spPr>
        <a:xfrm>
          <a:off x="7315200" y="314325"/>
          <a:ext cx="3143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35</xdr:row>
      <xdr:rowOff>9525</xdr:rowOff>
    </xdr:from>
    <xdr:to>
      <xdr:col>12</xdr:col>
      <xdr:colOff>0</xdr:colOff>
      <xdr:row>55</xdr:row>
      <xdr:rowOff>57150</xdr:rowOff>
    </xdr:to>
    <xdr:sp>
      <xdr:nvSpPr>
        <xdr:cNvPr id="7" name="Object 1" hidden="1"/>
        <xdr:cNvSpPr>
          <a:spLocks/>
        </xdr:cNvSpPr>
      </xdr:nvSpPr>
      <xdr:spPr>
        <a:xfrm>
          <a:off x="19050" y="6753225"/>
          <a:ext cx="5581650" cy="366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152400</xdr:colOff>
      <xdr:row>1</xdr:row>
      <xdr:rowOff>19050</xdr:rowOff>
    </xdr:from>
    <xdr:to>
      <xdr:col>16</xdr:col>
      <xdr:colOff>47625</xdr:colOff>
      <xdr:row>1</xdr:row>
      <xdr:rowOff>171450</xdr:rowOff>
    </xdr:to>
    <xdr:pic>
      <xdr:nvPicPr>
        <xdr:cNvPr id="8" name="Picture 2"/>
        <xdr:cNvPicPr preferRelativeResize="1">
          <a:picLocks noChangeAspect="1"/>
        </xdr:cNvPicPr>
      </xdr:nvPicPr>
      <xdr:blipFill>
        <a:blip r:embed="rId2"/>
        <a:stretch>
          <a:fillRect/>
        </a:stretch>
      </xdr:blipFill>
      <xdr:spPr>
        <a:xfrm>
          <a:off x="7315200" y="314325"/>
          <a:ext cx="314325" cy="152400"/>
        </a:xfrm>
        <a:prstGeom prst="rect">
          <a:avLst/>
        </a:prstGeom>
        <a:noFill/>
        <a:ln w="9525" cmpd="sng">
          <a:noFill/>
        </a:ln>
      </xdr:spPr>
    </xdr:pic>
    <xdr:clientData/>
  </xdr:twoCellAnchor>
  <xdr:twoCellAnchor>
    <xdr:from>
      <xdr:col>0</xdr:col>
      <xdr:colOff>19050</xdr:colOff>
      <xdr:row>35</xdr:row>
      <xdr:rowOff>9525</xdr:rowOff>
    </xdr:from>
    <xdr:to>
      <xdr:col>12</xdr:col>
      <xdr:colOff>0</xdr:colOff>
      <xdr:row>55</xdr:row>
      <xdr:rowOff>57150</xdr:rowOff>
    </xdr:to>
    <xdr:pic>
      <xdr:nvPicPr>
        <xdr:cNvPr id="9" name="Picture 1"/>
        <xdr:cNvPicPr preferRelativeResize="1">
          <a:picLocks noChangeAspect="1"/>
        </xdr:cNvPicPr>
      </xdr:nvPicPr>
      <xdr:blipFill>
        <a:blip r:embed="rId3"/>
        <a:stretch>
          <a:fillRect/>
        </a:stretch>
      </xdr:blipFill>
      <xdr:spPr>
        <a:xfrm>
          <a:off x="19050" y="6753225"/>
          <a:ext cx="5581650" cy="3667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2</xdr:col>
      <xdr:colOff>47625</xdr:colOff>
      <xdr:row>3</xdr:row>
      <xdr:rowOff>0</xdr:rowOff>
    </xdr:to>
    <xdr:pic>
      <xdr:nvPicPr>
        <xdr:cNvPr id="1" name="Picture 1"/>
        <xdr:cNvPicPr preferRelativeResize="1">
          <a:picLocks noChangeAspect="1"/>
        </xdr:cNvPicPr>
      </xdr:nvPicPr>
      <xdr:blipFill>
        <a:blip r:embed="rId1"/>
        <a:stretch>
          <a:fillRect/>
        </a:stretch>
      </xdr:blipFill>
      <xdr:spPr>
        <a:xfrm>
          <a:off x="304800" y="0"/>
          <a:ext cx="600075" cy="676275"/>
        </a:xfrm>
        <a:prstGeom prst="rect">
          <a:avLst/>
        </a:prstGeom>
        <a:noFill/>
        <a:ln w="9525" cmpd="sng">
          <a:noFill/>
        </a:ln>
      </xdr:spPr>
    </xdr:pic>
    <xdr:clientData/>
  </xdr:twoCellAnchor>
  <xdr:twoCellAnchor>
    <xdr:from>
      <xdr:col>15</xdr:col>
      <xdr:colOff>152400</xdr:colOff>
      <xdr:row>1</xdr:row>
      <xdr:rowOff>19050</xdr:rowOff>
    </xdr:from>
    <xdr:to>
      <xdr:col>16</xdr:col>
      <xdr:colOff>47625</xdr:colOff>
      <xdr:row>1</xdr:row>
      <xdr:rowOff>171450</xdr:rowOff>
    </xdr:to>
    <xdr:sp>
      <xdr:nvSpPr>
        <xdr:cNvPr id="2" name="Object 2" hidden="1"/>
        <xdr:cNvSpPr>
          <a:spLocks/>
        </xdr:cNvSpPr>
      </xdr:nvSpPr>
      <xdr:spPr>
        <a:xfrm>
          <a:off x="7315200" y="314325"/>
          <a:ext cx="3143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35</xdr:row>
      <xdr:rowOff>9525</xdr:rowOff>
    </xdr:from>
    <xdr:to>
      <xdr:col>12</xdr:col>
      <xdr:colOff>0</xdr:colOff>
      <xdr:row>55</xdr:row>
      <xdr:rowOff>57150</xdr:rowOff>
    </xdr:to>
    <xdr:sp>
      <xdr:nvSpPr>
        <xdr:cNvPr id="3" name="Object 1" hidden="1"/>
        <xdr:cNvSpPr>
          <a:spLocks/>
        </xdr:cNvSpPr>
      </xdr:nvSpPr>
      <xdr:spPr>
        <a:xfrm>
          <a:off x="19050" y="6753225"/>
          <a:ext cx="5581650" cy="366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152400</xdr:colOff>
      <xdr:row>1</xdr:row>
      <xdr:rowOff>19050</xdr:rowOff>
    </xdr:from>
    <xdr:to>
      <xdr:col>16</xdr:col>
      <xdr:colOff>47625</xdr:colOff>
      <xdr:row>1</xdr:row>
      <xdr:rowOff>171450</xdr:rowOff>
    </xdr:to>
    <xdr:pic>
      <xdr:nvPicPr>
        <xdr:cNvPr id="4" name="Picture 2"/>
        <xdr:cNvPicPr preferRelativeResize="1">
          <a:picLocks noChangeAspect="1"/>
        </xdr:cNvPicPr>
      </xdr:nvPicPr>
      <xdr:blipFill>
        <a:blip r:embed="rId2"/>
        <a:stretch>
          <a:fillRect/>
        </a:stretch>
      </xdr:blipFill>
      <xdr:spPr>
        <a:xfrm>
          <a:off x="7315200" y="314325"/>
          <a:ext cx="314325" cy="152400"/>
        </a:xfrm>
        <a:prstGeom prst="rect">
          <a:avLst/>
        </a:prstGeom>
        <a:noFill/>
        <a:ln w="9525" cmpd="sng">
          <a:noFill/>
        </a:ln>
      </xdr:spPr>
    </xdr:pic>
    <xdr:clientData/>
  </xdr:twoCellAnchor>
  <xdr:twoCellAnchor>
    <xdr:from>
      <xdr:col>0</xdr:col>
      <xdr:colOff>19050</xdr:colOff>
      <xdr:row>35</xdr:row>
      <xdr:rowOff>9525</xdr:rowOff>
    </xdr:from>
    <xdr:to>
      <xdr:col>12</xdr:col>
      <xdr:colOff>0</xdr:colOff>
      <xdr:row>55</xdr:row>
      <xdr:rowOff>57150</xdr:rowOff>
    </xdr:to>
    <xdr:pic>
      <xdr:nvPicPr>
        <xdr:cNvPr id="5" name="Picture 1"/>
        <xdr:cNvPicPr preferRelativeResize="1">
          <a:picLocks noChangeAspect="1"/>
        </xdr:cNvPicPr>
      </xdr:nvPicPr>
      <xdr:blipFill>
        <a:blip r:embed="rId3"/>
        <a:stretch>
          <a:fillRect/>
        </a:stretch>
      </xdr:blipFill>
      <xdr:spPr>
        <a:xfrm>
          <a:off x="19050" y="6753225"/>
          <a:ext cx="5581650" cy="3667125"/>
        </a:xfrm>
        <a:prstGeom prst="rect">
          <a:avLst/>
        </a:prstGeom>
        <a:noFill/>
        <a:ln w="9525" cmpd="sng">
          <a:noFill/>
        </a:ln>
      </xdr:spPr>
    </xdr:pic>
    <xdr:clientData/>
  </xdr:twoCellAnchor>
  <xdr:twoCellAnchor>
    <xdr:from>
      <xdr:col>15</xdr:col>
      <xdr:colOff>152400</xdr:colOff>
      <xdr:row>1</xdr:row>
      <xdr:rowOff>19050</xdr:rowOff>
    </xdr:from>
    <xdr:to>
      <xdr:col>16</xdr:col>
      <xdr:colOff>47625</xdr:colOff>
      <xdr:row>1</xdr:row>
      <xdr:rowOff>171450</xdr:rowOff>
    </xdr:to>
    <xdr:sp>
      <xdr:nvSpPr>
        <xdr:cNvPr id="6" name="Object 2" hidden="1"/>
        <xdr:cNvSpPr>
          <a:spLocks/>
        </xdr:cNvSpPr>
      </xdr:nvSpPr>
      <xdr:spPr>
        <a:xfrm>
          <a:off x="7315200" y="314325"/>
          <a:ext cx="31432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xdr:colOff>
      <xdr:row>35</xdr:row>
      <xdr:rowOff>9525</xdr:rowOff>
    </xdr:from>
    <xdr:to>
      <xdr:col>12</xdr:col>
      <xdr:colOff>0</xdr:colOff>
      <xdr:row>55</xdr:row>
      <xdr:rowOff>57150</xdr:rowOff>
    </xdr:to>
    <xdr:sp>
      <xdr:nvSpPr>
        <xdr:cNvPr id="7" name="Object 1" hidden="1"/>
        <xdr:cNvSpPr>
          <a:spLocks/>
        </xdr:cNvSpPr>
      </xdr:nvSpPr>
      <xdr:spPr>
        <a:xfrm>
          <a:off x="19050" y="6753225"/>
          <a:ext cx="5581650" cy="3667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152400</xdr:colOff>
      <xdr:row>1</xdr:row>
      <xdr:rowOff>19050</xdr:rowOff>
    </xdr:from>
    <xdr:to>
      <xdr:col>16</xdr:col>
      <xdr:colOff>47625</xdr:colOff>
      <xdr:row>1</xdr:row>
      <xdr:rowOff>171450</xdr:rowOff>
    </xdr:to>
    <xdr:pic>
      <xdr:nvPicPr>
        <xdr:cNvPr id="8" name="Picture 2"/>
        <xdr:cNvPicPr preferRelativeResize="1">
          <a:picLocks noChangeAspect="1"/>
        </xdr:cNvPicPr>
      </xdr:nvPicPr>
      <xdr:blipFill>
        <a:blip r:embed="rId2"/>
        <a:stretch>
          <a:fillRect/>
        </a:stretch>
      </xdr:blipFill>
      <xdr:spPr>
        <a:xfrm>
          <a:off x="7315200" y="314325"/>
          <a:ext cx="314325" cy="152400"/>
        </a:xfrm>
        <a:prstGeom prst="rect">
          <a:avLst/>
        </a:prstGeom>
        <a:noFill/>
        <a:ln w="9525" cmpd="sng">
          <a:noFill/>
        </a:ln>
      </xdr:spPr>
    </xdr:pic>
    <xdr:clientData/>
  </xdr:twoCellAnchor>
  <xdr:twoCellAnchor>
    <xdr:from>
      <xdr:col>0</xdr:col>
      <xdr:colOff>19050</xdr:colOff>
      <xdr:row>35</xdr:row>
      <xdr:rowOff>9525</xdr:rowOff>
    </xdr:from>
    <xdr:to>
      <xdr:col>12</xdr:col>
      <xdr:colOff>0</xdr:colOff>
      <xdr:row>55</xdr:row>
      <xdr:rowOff>57150</xdr:rowOff>
    </xdr:to>
    <xdr:pic>
      <xdr:nvPicPr>
        <xdr:cNvPr id="9" name="Picture 1"/>
        <xdr:cNvPicPr preferRelativeResize="1">
          <a:picLocks noChangeAspect="1"/>
        </xdr:cNvPicPr>
      </xdr:nvPicPr>
      <xdr:blipFill>
        <a:blip r:embed="rId3"/>
        <a:stretch>
          <a:fillRect/>
        </a:stretch>
      </xdr:blipFill>
      <xdr:spPr>
        <a:xfrm>
          <a:off x="19050" y="6753225"/>
          <a:ext cx="5581650" cy="3667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G69"/>
  <sheetViews>
    <sheetView tabSelected="1" zoomScale="80" zoomScaleNormal="80" zoomScalePageLayoutView="0" workbookViewId="0" topLeftCell="A1">
      <selection activeCell="D4" sqref="D4:R4"/>
    </sheetView>
  </sheetViews>
  <sheetFormatPr defaultColWidth="9.140625" defaultRowHeight="15"/>
  <cols>
    <col min="1" max="1" width="3.7109375" style="0" customWidth="1"/>
    <col min="3" max="3" width="4.57421875" style="0" customWidth="1"/>
    <col min="6" max="6" width="9.7109375" style="0" customWidth="1"/>
    <col min="7" max="7" width="2.7109375" style="0" customWidth="1"/>
    <col min="8" max="8" width="15.28125" style="0" customWidth="1"/>
    <col min="9" max="9" width="3.00390625" style="0" customWidth="1"/>
    <col min="10" max="10" width="3.7109375" style="0" customWidth="1"/>
    <col min="12" max="12" width="4.7109375" style="0" customWidth="1"/>
    <col min="13" max="13" width="10.28125" style="0" customWidth="1"/>
    <col min="14" max="14" width="8.7109375" style="0" customWidth="1"/>
    <col min="15" max="15" width="4.421875" style="0" customWidth="1"/>
    <col min="16" max="16" width="6.28125" style="0" customWidth="1"/>
    <col min="17" max="17" width="4.57421875" style="0" customWidth="1"/>
    <col min="18" max="18" width="8.28125" style="0" customWidth="1"/>
    <col min="20" max="20" width="13.7109375" style="0" customWidth="1"/>
    <col min="21" max="21" width="20.00390625" style="0" customWidth="1"/>
    <col min="26" max="26" width="9.28125" style="12" hidden="1" customWidth="1"/>
    <col min="27" max="27" width="24.421875" style="12" hidden="1" customWidth="1"/>
    <col min="28" max="31" width="9.28125" style="12" hidden="1" customWidth="1"/>
    <col min="32" max="32" width="15.28125" style="12" hidden="1" customWidth="1"/>
    <col min="33" max="33" width="9.28125" style="12" hidden="1" customWidth="1"/>
    <col min="34" max="35" width="9.28125" style="0" customWidth="1"/>
  </cols>
  <sheetData>
    <row r="1" spans="1:31" ht="23.25" customHeight="1">
      <c r="A1" s="143"/>
      <c r="B1" s="144"/>
      <c r="C1" s="144"/>
      <c r="D1" s="150" t="s">
        <v>0</v>
      </c>
      <c r="E1" s="150"/>
      <c r="F1" s="150"/>
      <c r="G1" s="150"/>
      <c r="H1" s="150"/>
      <c r="I1" s="150"/>
      <c r="J1" s="151" t="s">
        <v>38</v>
      </c>
      <c r="K1" s="151"/>
      <c r="L1" s="151"/>
      <c r="M1" s="151"/>
      <c r="N1" s="151"/>
      <c r="O1" s="152" t="s">
        <v>64</v>
      </c>
      <c r="P1" s="152"/>
      <c r="Q1" s="152"/>
      <c r="R1" s="153"/>
      <c r="T1" s="11"/>
      <c r="U1" s="24">
        <v>44782</v>
      </c>
      <c r="Z1" s="12" t="s">
        <v>55</v>
      </c>
      <c r="AB1" s="23">
        <v>0</v>
      </c>
      <c r="AC1" s="23">
        <v>1.5</v>
      </c>
      <c r="AE1" s="23">
        <v>0.69</v>
      </c>
    </row>
    <row r="2" spans="1:30" ht="15" customHeight="1">
      <c r="A2" s="145"/>
      <c r="B2" s="146"/>
      <c r="C2" s="147"/>
      <c r="D2" s="154" t="s">
        <v>112</v>
      </c>
      <c r="E2" s="155"/>
      <c r="F2" s="155"/>
      <c r="G2" s="155"/>
      <c r="H2" s="155"/>
      <c r="I2" s="155"/>
      <c r="J2" s="156" t="s">
        <v>1</v>
      </c>
      <c r="K2" s="157"/>
      <c r="L2" s="157"/>
      <c r="M2" s="157"/>
      <c r="N2" s="158"/>
      <c r="O2" s="159" t="s">
        <v>63</v>
      </c>
      <c r="P2" s="159"/>
      <c r="Q2" s="159"/>
      <c r="R2" s="160"/>
      <c r="U2" s="10"/>
      <c r="Z2" s="12" t="s">
        <v>56</v>
      </c>
      <c r="AB2" s="23">
        <v>0</v>
      </c>
      <c r="AC2" s="13"/>
      <c r="AD2" s="13"/>
    </row>
    <row r="3" spans="1:29" ht="15" customHeight="1" thickBot="1">
      <c r="A3" s="148"/>
      <c r="B3" s="149"/>
      <c r="C3" s="149"/>
      <c r="D3" s="161" t="s">
        <v>113</v>
      </c>
      <c r="E3" s="161"/>
      <c r="F3" s="161"/>
      <c r="G3" s="161"/>
      <c r="H3" s="161"/>
      <c r="I3" s="161"/>
      <c r="J3" s="162" t="s">
        <v>34</v>
      </c>
      <c r="K3" s="162"/>
      <c r="L3" s="162"/>
      <c r="M3" s="162"/>
      <c r="N3" s="162"/>
      <c r="O3" s="163" t="s">
        <v>37</v>
      </c>
      <c r="P3" s="163"/>
      <c r="Q3" s="163"/>
      <c r="R3" s="164"/>
      <c r="Z3" s="12" t="s">
        <v>57</v>
      </c>
      <c r="AB3" s="14">
        <f>N13*AB1*D8*D8*AB2*AB2/AC1/10000000</f>
        <v>0</v>
      </c>
      <c r="AC3" s="15" t="s">
        <v>53</v>
      </c>
    </row>
    <row r="4" spans="1:33" ht="15.75" customHeight="1">
      <c r="A4" s="136" t="s">
        <v>35</v>
      </c>
      <c r="B4" s="137"/>
      <c r="C4" s="137"/>
      <c r="D4" s="138"/>
      <c r="E4" s="139"/>
      <c r="F4" s="139"/>
      <c r="G4" s="139"/>
      <c r="H4" s="139"/>
      <c r="I4" s="139"/>
      <c r="J4" s="139"/>
      <c r="K4" s="139"/>
      <c r="L4" s="139"/>
      <c r="M4" s="139"/>
      <c r="N4" s="139"/>
      <c r="O4" s="139"/>
      <c r="P4" s="139"/>
      <c r="Q4" s="139"/>
      <c r="R4" s="140"/>
      <c r="Z4" s="141"/>
      <c r="AA4" s="141"/>
      <c r="AB4" s="141"/>
      <c r="AC4" s="141" t="s">
        <v>54</v>
      </c>
      <c r="AD4" s="141"/>
      <c r="AF4" s="12" t="s">
        <v>103</v>
      </c>
      <c r="AG4" s="12">
        <f>IF(ISERR(FIND(AF4,UPPER($J$5),1))=FALSE,0.35,0.15)</f>
        <v>0.15</v>
      </c>
    </row>
    <row r="5" spans="1:33" ht="15" customHeight="1">
      <c r="A5" s="28">
        <v>1</v>
      </c>
      <c r="B5" s="115" t="s">
        <v>52</v>
      </c>
      <c r="C5" s="115"/>
      <c r="D5" s="87"/>
      <c r="E5" s="87"/>
      <c r="F5" s="87"/>
      <c r="G5" s="29">
        <v>2</v>
      </c>
      <c r="H5" s="115" t="s">
        <v>47</v>
      </c>
      <c r="I5" s="115"/>
      <c r="J5" s="69"/>
      <c r="K5" s="70"/>
      <c r="L5" s="70"/>
      <c r="M5" s="70"/>
      <c r="N5" s="70"/>
      <c r="O5" s="123"/>
      <c r="P5" s="142" t="s">
        <v>3</v>
      </c>
      <c r="Q5" s="142"/>
      <c r="R5" s="30"/>
      <c r="U5" s="10"/>
      <c r="Z5" s="12" t="s">
        <v>58</v>
      </c>
      <c r="AB5" s="16">
        <f>AG10</f>
        <v>0.15</v>
      </c>
      <c r="AD5" s="25"/>
      <c r="AF5" s="12" t="s">
        <v>99</v>
      </c>
      <c r="AG5" s="12">
        <f>IF(ISERR(FIND(AF5,UPPER($J$5),1))=FALSE,0.15,0)</f>
        <v>0</v>
      </c>
    </row>
    <row r="6" spans="1:33" ht="15.75" customHeight="1">
      <c r="A6" s="28">
        <v>2</v>
      </c>
      <c r="B6" s="115" t="s">
        <v>4</v>
      </c>
      <c r="C6" s="115"/>
      <c r="D6" s="69"/>
      <c r="E6" s="70"/>
      <c r="F6" s="123"/>
      <c r="G6" s="29">
        <v>4</v>
      </c>
      <c r="H6" s="115" t="s">
        <v>84</v>
      </c>
      <c r="I6" s="115"/>
      <c r="J6" s="133"/>
      <c r="K6" s="134"/>
      <c r="L6" s="134"/>
      <c r="M6" s="135"/>
      <c r="N6" s="94" t="s">
        <v>5</v>
      </c>
      <c r="O6" s="94"/>
      <c r="P6" s="94" t="s">
        <v>6</v>
      </c>
      <c r="Q6" s="94"/>
      <c r="R6" s="31" t="s">
        <v>7</v>
      </c>
      <c r="U6" s="10"/>
      <c r="Z6" s="12" t="s">
        <v>68</v>
      </c>
      <c r="AB6" s="17" t="e">
        <f>AB3*L19/L21/L21</f>
        <v>#DIV/0!</v>
      </c>
      <c r="AF6" s="12" t="s">
        <v>101</v>
      </c>
      <c r="AG6" s="12">
        <f>IF(ISERR(FIND(AF6,UPPER($J$5),1))=FALSE,IF(AND(ISERR(FIND("SD",UPPER($J$5),1))=FALSE,ISERR(FIND("SDO",UPPER($J$5),1))=TRUE),0.05,0.1),0)</f>
        <v>0</v>
      </c>
    </row>
    <row r="7" spans="1:33" ht="14.25">
      <c r="A7" s="28">
        <v>5</v>
      </c>
      <c r="B7" s="115" t="s">
        <v>36</v>
      </c>
      <c r="C7" s="115"/>
      <c r="D7" s="87"/>
      <c r="E7" s="87"/>
      <c r="F7" s="87"/>
      <c r="G7" s="29">
        <v>6</v>
      </c>
      <c r="H7" s="115" t="s">
        <v>2</v>
      </c>
      <c r="I7" s="115"/>
      <c r="J7" s="87"/>
      <c r="K7" s="87"/>
      <c r="L7" s="87"/>
      <c r="M7" s="87"/>
      <c r="N7" s="88"/>
      <c r="O7" s="88"/>
      <c r="P7" s="88"/>
      <c r="Q7" s="88"/>
      <c r="R7" s="33"/>
      <c r="U7" s="10"/>
      <c r="Z7" s="12" t="s">
        <v>69</v>
      </c>
      <c r="AB7" s="17" t="e">
        <f>AB3*O19/O21/O21</f>
        <v>#DIV/0!</v>
      </c>
      <c r="AF7" s="12" t="s">
        <v>100</v>
      </c>
      <c r="AG7" s="12">
        <f>IF(ISERR(FIND(AF7,UPPER($J$5),1))=FALSE,0.1,0)</f>
        <v>0</v>
      </c>
    </row>
    <row r="8" spans="1:33" ht="15" customHeight="1" thickBot="1">
      <c r="A8" s="34">
        <v>7</v>
      </c>
      <c r="B8" s="131" t="s">
        <v>8</v>
      </c>
      <c r="C8" s="131"/>
      <c r="D8" s="119"/>
      <c r="E8" s="74"/>
      <c r="F8" s="120"/>
      <c r="G8" s="35">
        <v>8</v>
      </c>
      <c r="H8" s="131" t="s">
        <v>9</v>
      </c>
      <c r="I8" s="131"/>
      <c r="J8" s="121"/>
      <c r="K8" s="121"/>
      <c r="L8" s="121"/>
      <c r="M8" s="121"/>
      <c r="N8" s="132"/>
      <c r="O8" s="132"/>
      <c r="P8" s="132"/>
      <c r="Q8" s="132"/>
      <c r="R8" s="36"/>
      <c r="Z8" s="12" t="s">
        <v>60</v>
      </c>
      <c r="AB8" s="17" t="e">
        <f>AB6*IF(L25="NO",1,AB19/0.3/100)</f>
        <v>#DIV/0!</v>
      </c>
      <c r="AF8" s="12" t="s">
        <v>98</v>
      </c>
      <c r="AG8" s="12">
        <f>IF(AND(ISERR(FIND("SD",UPPER($J$5),1))=FALSE,ISERR(FIND("SDO",UPPER($J$5),1))=TRUE),0.05,0)</f>
        <v>0</v>
      </c>
    </row>
    <row r="9" spans="1:33" ht="15.75" thickBot="1">
      <c r="A9" s="125" t="s">
        <v>10</v>
      </c>
      <c r="B9" s="126"/>
      <c r="C9" s="126"/>
      <c r="D9" s="126"/>
      <c r="E9" s="126"/>
      <c r="F9" s="126"/>
      <c r="G9" s="126"/>
      <c r="H9" s="126"/>
      <c r="I9" s="126"/>
      <c r="J9" s="126"/>
      <c r="K9" s="126"/>
      <c r="L9" s="126"/>
      <c r="M9" s="126"/>
      <c r="N9" s="126"/>
      <c r="O9" s="126"/>
      <c r="P9" s="126"/>
      <c r="Q9" s="126"/>
      <c r="R9" s="127"/>
      <c r="Z9" s="12" t="s">
        <v>61</v>
      </c>
      <c r="AB9" s="17" t="e">
        <f>AB7*IF(O25="NO",1,AB21/0.3/100)</f>
        <v>#DIV/0!</v>
      </c>
      <c r="AF9" s="12" t="s">
        <v>97</v>
      </c>
      <c r="AG9" s="12">
        <f>IF(ISERR(FIND(AF9,UPPER($J$5),1))=FALSE,0.1,0)</f>
        <v>0</v>
      </c>
    </row>
    <row r="10" spans="1:33" ht="14.25">
      <c r="A10" s="128" t="s">
        <v>39</v>
      </c>
      <c r="B10" s="129"/>
      <c r="C10" s="129"/>
      <c r="D10" s="129"/>
      <c r="E10" s="129"/>
      <c r="F10" s="129"/>
      <c r="G10" s="129"/>
      <c r="H10" s="129"/>
      <c r="I10" s="129"/>
      <c r="J10" s="129"/>
      <c r="K10" s="129"/>
      <c r="L10" s="129"/>
      <c r="M10" s="129"/>
      <c r="N10" s="129"/>
      <c r="O10" s="129"/>
      <c r="P10" s="129"/>
      <c r="Q10" s="129"/>
      <c r="R10" s="130"/>
      <c r="Z10" s="12" t="s">
        <v>59</v>
      </c>
      <c r="AB10" s="17" t="e">
        <f>AB8+AB5</f>
        <v>#DIV/0!</v>
      </c>
      <c r="AF10" s="12" t="s">
        <v>102</v>
      </c>
      <c r="AG10" s="12">
        <f>AG4-AG5-AG6+AG7+AG8-AG9</f>
        <v>0.15</v>
      </c>
    </row>
    <row r="11" spans="1:28" ht="15" customHeight="1">
      <c r="A11" s="28">
        <v>9</v>
      </c>
      <c r="B11" s="115" t="s">
        <v>41</v>
      </c>
      <c r="C11" s="115"/>
      <c r="D11" s="115"/>
      <c r="E11" s="115"/>
      <c r="F11" s="87"/>
      <c r="G11" s="87"/>
      <c r="H11" s="87"/>
      <c r="I11" s="87"/>
      <c r="J11" s="29">
        <v>10</v>
      </c>
      <c r="K11" s="115" t="s">
        <v>81</v>
      </c>
      <c r="L11" s="115"/>
      <c r="M11" s="115"/>
      <c r="N11" s="87"/>
      <c r="O11" s="87"/>
      <c r="P11" s="87"/>
      <c r="Q11" s="87"/>
      <c r="R11" s="124"/>
      <c r="Z11" s="12" t="s">
        <v>62</v>
      </c>
      <c r="AB11" s="17">
        <f>L18+IF(L20="+",1,-1)*M20/10*N13-F13/760-0.1</f>
        <v>0.9</v>
      </c>
    </row>
    <row r="12" spans="1:29" ht="15" customHeight="1">
      <c r="A12" s="28">
        <v>11</v>
      </c>
      <c r="B12" s="115" t="s">
        <v>42</v>
      </c>
      <c r="C12" s="115"/>
      <c r="D12" s="115"/>
      <c r="E12" s="115"/>
      <c r="F12" s="69"/>
      <c r="G12" s="70"/>
      <c r="H12" s="70"/>
      <c r="I12" s="123"/>
      <c r="J12" s="29">
        <v>12</v>
      </c>
      <c r="K12" s="115" t="s">
        <v>11</v>
      </c>
      <c r="L12" s="115"/>
      <c r="M12" s="115"/>
      <c r="N12" s="87"/>
      <c r="O12" s="87"/>
      <c r="P12" s="87"/>
      <c r="Q12" s="87"/>
      <c r="R12" s="124"/>
      <c r="Z12" s="12" t="s">
        <v>70</v>
      </c>
      <c r="AB12" s="18" t="e">
        <f>AB11-AB10</f>
        <v>#DIV/0!</v>
      </c>
      <c r="AC12" s="12" t="s">
        <v>72</v>
      </c>
    </row>
    <row r="13" spans="1:28" ht="15" customHeight="1">
      <c r="A13" s="28">
        <v>13</v>
      </c>
      <c r="B13" s="115" t="s">
        <v>12</v>
      </c>
      <c r="C13" s="115"/>
      <c r="D13" s="115"/>
      <c r="E13" s="115"/>
      <c r="F13" s="87"/>
      <c r="G13" s="87"/>
      <c r="H13" s="87"/>
      <c r="I13" s="87"/>
      <c r="J13" s="29">
        <v>14</v>
      </c>
      <c r="K13" s="115" t="s">
        <v>13</v>
      </c>
      <c r="L13" s="115"/>
      <c r="M13" s="115"/>
      <c r="N13" s="69"/>
      <c r="O13" s="70"/>
      <c r="P13" s="70"/>
      <c r="Q13" s="70"/>
      <c r="R13" s="71"/>
      <c r="Z13" s="12" t="s">
        <v>71</v>
      </c>
      <c r="AB13" s="17" t="e">
        <f>O18+IF(O20="+",1,-1)*P20*N13/10-L18-IF(L20="+",1,-1)*M20*N13/10-AB8-AB9</f>
        <v>#DIV/0!</v>
      </c>
    </row>
    <row r="14" spans="1:30" ht="15" customHeight="1">
      <c r="A14" s="28">
        <v>15</v>
      </c>
      <c r="B14" s="115" t="s">
        <v>14</v>
      </c>
      <c r="C14" s="115"/>
      <c r="D14" s="115"/>
      <c r="E14" s="115"/>
      <c r="F14" s="87"/>
      <c r="G14" s="87"/>
      <c r="H14" s="87"/>
      <c r="I14" s="87"/>
      <c r="J14" s="29" t="s">
        <v>15</v>
      </c>
      <c r="K14" s="115" t="s">
        <v>16</v>
      </c>
      <c r="L14" s="115"/>
      <c r="M14" s="115"/>
      <c r="N14" s="69" t="s">
        <v>92</v>
      </c>
      <c r="O14" s="70"/>
      <c r="P14" s="70"/>
      <c r="Q14" s="70"/>
      <c r="R14" s="71"/>
      <c r="Z14" s="12" t="s">
        <v>94</v>
      </c>
      <c r="AB14" s="17" t="e">
        <f>IF(AB13&lt;0.4,IF(AB13&lt;-0.6,ABS(AB13-0.4),1),0)</f>
        <v>#DIV/0!</v>
      </c>
      <c r="AC14" s="26" t="e">
        <f>ROUND(AB14,1)</f>
        <v>#DIV/0!</v>
      </c>
      <c r="AD14" s="12" t="e">
        <f>IF(AB13&lt;0.4,ROUND(ABS(AB13-0.4)+0.05,1),0)</f>
        <v>#DIV/0!</v>
      </c>
    </row>
    <row r="15" spans="1:28" ht="22.5" customHeight="1" thickBot="1">
      <c r="A15" s="34" t="s">
        <v>17</v>
      </c>
      <c r="B15" s="116" t="s">
        <v>80</v>
      </c>
      <c r="C15" s="116"/>
      <c r="D15" s="116"/>
      <c r="E15" s="116"/>
      <c r="F15" s="117"/>
      <c r="G15" s="118"/>
      <c r="H15" s="119"/>
      <c r="I15" s="120"/>
      <c r="J15" s="35" t="s">
        <v>18</v>
      </c>
      <c r="K15" s="116" t="s">
        <v>19</v>
      </c>
      <c r="L15" s="116"/>
      <c r="M15" s="116"/>
      <c r="N15" s="121"/>
      <c r="O15" s="121"/>
      <c r="P15" s="121"/>
      <c r="Q15" s="121"/>
      <c r="R15" s="122"/>
      <c r="Z15" s="12" t="s">
        <v>95</v>
      </c>
      <c r="AB15" s="17" t="b">
        <f>IF(O23="YES",IF(Q23&gt;IF(AB14=0,1,AB14),Q23,IF(AB14=0,1,AB14)))</f>
        <v>0</v>
      </c>
    </row>
    <row r="16" spans="1:29" ht="15.75" thickBot="1">
      <c r="A16" s="110" t="s">
        <v>40</v>
      </c>
      <c r="B16" s="111"/>
      <c r="C16" s="111"/>
      <c r="D16" s="111"/>
      <c r="E16" s="111"/>
      <c r="F16" s="111"/>
      <c r="G16" s="111"/>
      <c r="H16" s="111"/>
      <c r="I16" s="111"/>
      <c r="J16" s="111"/>
      <c r="K16" s="111"/>
      <c r="L16" s="111"/>
      <c r="M16" s="111"/>
      <c r="N16" s="111"/>
      <c r="O16" s="111"/>
      <c r="P16" s="111"/>
      <c r="Q16" s="111"/>
      <c r="R16" s="112"/>
      <c r="Z16" s="12" t="s">
        <v>65</v>
      </c>
      <c r="AB16" s="17" t="e">
        <f>AB15+O18+IF(O20="+",1,-1)*P20*N13/10-L18-IF(L20="+",1,-1)*M20*N13/10-AB8-AB9</f>
        <v>#DIV/0!</v>
      </c>
      <c r="AC16" s="12" t="s">
        <v>73</v>
      </c>
    </row>
    <row r="17" spans="1:28" ht="15" customHeight="1">
      <c r="A17" s="113" t="s">
        <v>20</v>
      </c>
      <c r="B17" s="82"/>
      <c r="C17" s="82"/>
      <c r="D17" s="82"/>
      <c r="E17" s="82"/>
      <c r="F17" s="82"/>
      <c r="G17" s="82"/>
      <c r="H17" s="82"/>
      <c r="I17" s="82"/>
      <c r="J17" s="82"/>
      <c r="K17" s="82"/>
      <c r="L17" s="82" t="s">
        <v>21</v>
      </c>
      <c r="M17" s="82"/>
      <c r="N17" s="82"/>
      <c r="O17" s="82" t="s">
        <v>22</v>
      </c>
      <c r="P17" s="82"/>
      <c r="Q17" s="82"/>
      <c r="R17" s="83"/>
      <c r="Z17" s="12" t="s">
        <v>66</v>
      </c>
      <c r="AB17" s="17" t="e">
        <f>L18+IF(L20="+",1,-1)*M20/10*N13+AB8</f>
        <v>#DIV/0!</v>
      </c>
    </row>
    <row r="18" spans="1:28" ht="14.25">
      <c r="A18" s="37">
        <v>17</v>
      </c>
      <c r="B18" s="92" t="s">
        <v>105</v>
      </c>
      <c r="C18" s="92"/>
      <c r="D18" s="92"/>
      <c r="E18" s="92"/>
      <c r="F18" s="92"/>
      <c r="G18" s="92"/>
      <c r="H18" s="92"/>
      <c r="I18" s="92"/>
      <c r="J18" s="92"/>
      <c r="K18" s="92"/>
      <c r="L18" s="88">
        <v>1</v>
      </c>
      <c r="M18" s="88"/>
      <c r="N18" s="88"/>
      <c r="O18" s="88">
        <v>1</v>
      </c>
      <c r="P18" s="88"/>
      <c r="Q18" s="88"/>
      <c r="R18" s="114"/>
      <c r="Z18" s="19" t="s">
        <v>67</v>
      </c>
      <c r="AA18" s="19"/>
      <c r="AB18" s="20" t="e">
        <f>MAX(J6,O18+IF(O20="+",1,-1)*P20*N13/10+AB9+AB15)</f>
        <v>#DIV/0!</v>
      </c>
    </row>
    <row r="19" spans="1:28" ht="14.25">
      <c r="A19" s="37">
        <v>18</v>
      </c>
      <c r="B19" s="92" t="s">
        <v>23</v>
      </c>
      <c r="C19" s="92"/>
      <c r="D19" s="92"/>
      <c r="E19" s="92"/>
      <c r="F19" s="92"/>
      <c r="G19" s="92"/>
      <c r="H19" s="92"/>
      <c r="I19" s="92"/>
      <c r="J19" s="92"/>
      <c r="K19" s="92"/>
      <c r="L19" s="89"/>
      <c r="M19" s="90"/>
      <c r="N19" s="106"/>
      <c r="O19" s="89"/>
      <c r="P19" s="90"/>
      <c r="Q19" s="90"/>
      <c r="R19" s="91"/>
      <c r="Z19" s="12" t="s">
        <v>77</v>
      </c>
      <c r="AB19" s="21">
        <f>G25</f>
        <v>3</v>
      </c>
    </row>
    <row r="20" spans="1:30" ht="14.25">
      <c r="A20" s="37">
        <v>19</v>
      </c>
      <c r="B20" s="92" t="s">
        <v>104</v>
      </c>
      <c r="C20" s="92"/>
      <c r="D20" s="92"/>
      <c r="E20" s="92"/>
      <c r="F20" s="92"/>
      <c r="G20" s="92"/>
      <c r="H20" s="92"/>
      <c r="I20" s="92"/>
      <c r="J20" s="92"/>
      <c r="K20" s="92"/>
      <c r="L20" s="39" t="s">
        <v>48</v>
      </c>
      <c r="M20" s="89"/>
      <c r="N20" s="106"/>
      <c r="O20" s="39" t="s">
        <v>48</v>
      </c>
      <c r="P20" s="89"/>
      <c r="Q20" s="90"/>
      <c r="R20" s="91"/>
      <c r="Z20" s="12" t="s">
        <v>74</v>
      </c>
      <c r="AB20" s="21" t="e">
        <f>IF(AC20&lt;=0.55,0.5,IF(AC20&lt;=1.1,1,IF(AC20&lt;=2.2,2,IF(AC20&lt;=3.3,3,IF(AC20&lt;=5.5,5,IF(AC20&lt;=7.7,7,IF(AC20&lt;=11,10,IF(AC20&lt;=17.6,16,AD20))))))))</f>
        <v>#DIV/0!</v>
      </c>
      <c r="AC20" s="21" t="e">
        <f>ROUND((D6*AE1/60/D8)/((1/AB17/(1-AB19/100))^0.7193-(1/AB17/(1+AB19/100))^0.7193),1)</f>
        <v>#DIV/0!</v>
      </c>
      <c r="AD20" s="12" t="e">
        <f>IF(AC20&lt;=33,30,IF(AC20&lt;=44,40,IF(AC20&lt;=66,60,AC20)))</f>
        <v>#DIV/0!</v>
      </c>
    </row>
    <row r="21" spans="1:28" ht="14.25">
      <c r="A21" s="37">
        <v>20</v>
      </c>
      <c r="B21" s="92" t="s">
        <v>106</v>
      </c>
      <c r="C21" s="92"/>
      <c r="D21" s="92"/>
      <c r="E21" s="92"/>
      <c r="F21" s="92"/>
      <c r="G21" s="92"/>
      <c r="H21" s="92"/>
      <c r="I21" s="92"/>
      <c r="J21" s="92"/>
      <c r="K21" s="92"/>
      <c r="L21" s="89"/>
      <c r="M21" s="90"/>
      <c r="N21" s="106"/>
      <c r="O21" s="89"/>
      <c r="P21" s="90"/>
      <c r="Q21" s="90"/>
      <c r="R21" s="91"/>
      <c r="Z21" s="12" t="s">
        <v>76</v>
      </c>
      <c r="AB21" s="21">
        <f>G25</f>
        <v>3</v>
      </c>
    </row>
    <row r="22" spans="1:30" ht="14.25">
      <c r="A22" s="37">
        <v>21</v>
      </c>
      <c r="B22" s="92" t="s">
        <v>107</v>
      </c>
      <c r="C22" s="92"/>
      <c r="D22" s="92"/>
      <c r="E22" s="92"/>
      <c r="F22" s="92"/>
      <c r="G22" s="92"/>
      <c r="H22" s="92"/>
      <c r="I22" s="92"/>
      <c r="J22" s="92"/>
      <c r="K22" s="92"/>
      <c r="L22" s="89" t="s">
        <v>93</v>
      </c>
      <c r="M22" s="90"/>
      <c r="N22" s="106"/>
      <c r="O22" s="97" t="s">
        <v>24</v>
      </c>
      <c r="P22" s="108"/>
      <c r="Q22" s="108"/>
      <c r="R22" s="109"/>
      <c r="Z22" s="12" t="s">
        <v>75</v>
      </c>
      <c r="AB22" s="21" t="e">
        <f>IF(AC22&lt;=0.55,0.5,IF(AC22&lt;=1.1,1,IF(AC22&lt;=2.2,2,IF(AC22&lt;=3.3,3,IF(AC22&lt;=5.5,5,IF(AC22&lt;=7.7,7,IF(AC22&lt;=11,10,IF(AC22&lt;=17.6,16,AD22))))))))</f>
        <v>#DIV/0!</v>
      </c>
      <c r="AC22" s="12" t="e">
        <f>ROUND((D6*AE1/60/D8)/((1/AB18/(1-AB21/100))^0.7193-(1/AB18/(1+AB21/100))^0.7193),1)</f>
        <v>#DIV/0!</v>
      </c>
      <c r="AD22" s="12" t="e">
        <f>IF(AC22&lt;=33,30,IF(AC22&lt;=44,40,IF(AC22&lt;=66,60,AC22)))</f>
        <v>#DIV/0!</v>
      </c>
    </row>
    <row r="23" spans="1:29" ht="14.25">
      <c r="A23" s="37">
        <v>22</v>
      </c>
      <c r="B23" s="92" t="s">
        <v>49</v>
      </c>
      <c r="C23" s="92"/>
      <c r="D23" s="92"/>
      <c r="E23" s="92"/>
      <c r="F23" s="92"/>
      <c r="G23" s="92"/>
      <c r="H23" s="92"/>
      <c r="I23" s="92"/>
      <c r="J23" s="92"/>
      <c r="K23" s="92"/>
      <c r="L23" s="94" t="s">
        <v>24</v>
      </c>
      <c r="M23" s="94"/>
      <c r="N23" s="94"/>
      <c r="O23" s="89"/>
      <c r="P23" s="106"/>
      <c r="Q23" s="90"/>
      <c r="R23" s="91"/>
      <c r="Z23" s="12" t="s">
        <v>78</v>
      </c>
      <c r="AB23" s="22" t="e">
        <f>IF(ROUND(AB15+O18+IF(O20="+",1,-1)*P20*N13/10+AB9,1)&lt;=10,AB15+O18+IF(O20="+",1,-1)*P20*N13/10+AB9,(AB15+O18+IF(O20="+",1,-1)*P20*N13/10+AB9)*1.05)</f>
        <v>#DIV/0!</v>
      </c>
      <c r="AC23" s="12" t="s">
        <v>82</v>
      </c>
    </row>
    <row r="24" spans="1:18" ht="14.25">
      <c r="A24" s="37">
        <v>23</v>
      </c>
      <c r="B24" s="92" t="s">
        <v>43</v>
      </c>
      <c r="C24" s="92"/>
      <c r="D24" s="92"/>
      <c r="E24" s="92"/>
      <c r="F24" s="92"/>
      <c r="G24" s="107"/>
      <c r="H24" s="92"/>
      <c r="I24" s="92"/>
      <c r="J24" s="92"/>
      <c r="K24" s="92"/>
      <c r="L24" s="94" t="s">
        <v>24</v>
      </c>
      <c r="M24" s="94"/>
      <c r="N24" s="94"/>
      <c r="O24" s="89">
        <f>J6+1</f>
        <v>1</v>
      </c>
      <c r="P24" s="90"/>
      <c r="Q24" s="90"/>
      <c r="R24" s="91"/>
    </row>
    <row r="25" spans="1:27" ht="15" customHeight="1">
      <c r="A25" s="37">
        <v>24</v>
      </c>
      <c r="B25" s="67" t="s">
        <v>110</v>
      </c>
      <c r="C25" s="95"/>
      <c r="D25" s="95"/>
      <c r="E25" s="95"/>
      <c r="F25" s="95"/>
      <c r="G25" s="40">
        <v>3</v>
      </c>
      <c r="H25" s="104" t="s">
        <v>111</v>
      </c>
      <c r="I25" s="104"/>
      <c r="J25" s="104"/>
      <c r="K25" s="105"/>
      <c r="L25" s="88" t="s">
        <v>92</v>
      </c>
      <c r="M25" s="88"/>
      <c r="N25" s="32"/>
      <c r="O25" s="88" t="s">
        <v>92</v>
      </c>
      <c r="P25" s="88"/>
      <c r="Q25" s="89"/>
      <c r="R25" s="91"/>
      <c r="Z25" s="12">
        <f>IF(J6&lt;10,J6+1,J6*1.1)</f>
        <v>1</v>
      </c>
      <c r="AA25" s="12" t="s">
        <v>83</v>
      </c>
    </row>
    <row r="26" spans="1:26" ht="14.25">
      <c r="A26" s="37"/>
      <c r="B26" s="97"/>
      <c r="C26" s="98"/>
      <c r="D26" s="99" t="s">
        <v>21</v>
      </c>
      <c r="E26" s="100"/>
      <c r="F26" s="100"/>
      <c r="G26" s="101"/>
      <c r="H26" s="102"/>
      <c r="I26" s="99" t="s">
        <v>22</v>
      </c>
      <c r="J26" s="100"/>
      <c r="K26" s="100"/>
      <c r="L26" s="100"/>
      <c r="M26" s="100"/>
      <c r="N26" s="100"/>
      <c r="O26" s="100"/>
      <c r="P26" s="100"/>
      <c r="Q26" s="100"/>
      <c r="R26" s="103"/>
      <c r="Z26" s="12" t="e">
        <f>ROUND(IF(AB23&lt;10,AB23+1,AB23*1.1),1)</f>
        <v>#DIV/0!</v>
      </c>
    </row>
    <row r="27" spans="1:18" ht="14.25">
      <c r="A27" s="37"/>
      <c r="B27" s="67" t="s">
        <v>51</v>
      </c>
      <c r="C27" s="68"/>
      <c r="D27" s="38" t="s">
        <v>25</v>
      </c>
      <c r="E27" s="38" t="s">
        <v>26</v>
      </c>
      <c r="F27" s="92" t="s">
        <v>27</v>
      </c>
      <c r="G27" s="92"/>
      <c r="H27" s="92"/>
      <c r="I27" s="92" t="s">
        <v>25</v>
      </c>
      <c r="J27" s="92"/>
      <c r="K27" s="92"/>
      <c r="L27" s="94" t="s">
        <v>26</v>
      </c>
      <c r="M27" s="94"/>
      <c r="N27" s="67" t="s">
        <v>28</v>
      </c>
      <c r="O27" s="95"/>
      <c r="P27" s="95"/>
      <c r="Q27" s="95"/>
      <c r="R27" s="96"/>
    </row>
    <row r="28" spans="1:18" ht="15" customHeight="1">
      <c r="A28" s="37">
        <v>25</v>
      </c>
      <c r="B28" s="92" t="s">
        <v>29</v>
      </c>
      <c r="C28" s="92"/>
      <c r="D28" s="41"/>
      <c r="E28" s="41"/>
      <c r="F28" s="93"/>
      <c r="G28" s="93"/>
      <c r="H28" s="93"/>
      <c r="I28" s="93"/>
      <c r="J28" s="93"/>
      <c r="K28" s="93"/>
      <c r="L28" s="88"/>
      <c r="M28" s="88"/>
      <c r="N28" s="89"/>
      <c r="O28" s="90"/>
      <c r="P28" s="90"/>
      <c r="Q28" s="90"/>
      <c r="R28" s="91"/>
    </row>
    <row r="29" spans="1:18" ht="14.25">
      <c r="A29" s="37">
        <v>26</v>
      </c>
      <c r="B29" s="92" t="s">
        <v>30</v>
      </c>
      <c r="C29" s="92"/>
      <c r="D29" s="41"/>
      <c r="E29" s="41"/>
      <c r="F29" s="93"/>
      <c r="G29" s="93"/>
      <c r="H29" s="93"/>
      <c r="I29" s="93"/>
      <c r="J29" s="93"/>
      <c r="K29" s="93"/>
      <c r="L29" s="88"/>
      <c r="M29" s="88"/>
      <c r="N29" s="89"/>
      <c r="O29" s="90"/>
      <c r="P29" s="90"/>
      <c r="Q29" s="90"/>
      <c r="R29" s="91"/>
    </row>
    <row r="30" spans="1:18" ht="14.25">
      <c r="A30" s="37">
        <v>27</v>
      </c>
      <c r="B30" s="87" t="s">
        <v>108</v>
      </c>
      <c r="C30" s="87"/>
      <c r="D30" s="41"/>
      <c r="E30" s="41"/>
      <c r="F30" s="88"/>
      <c r="G30" s="88"/>
      <c r="H30" s="88"/>
      <c r="I30" s="88"/>
      <c r="J30" s="88"/>
      <c r="K30" s="88"/>
      <c r="L30" s="88"/>
      <c r="M30" s="88"/>
      <c r="N30" s="89"/>
      <c r="O30" s="90"/>
      <c r="P30" s="90"/>
      <c r="Q30" s="90"/>
      <c r="R30" s="91"/>
    </row>
    <row r="31" spans="1:18" ht="14.25">
      <c r="A31" s="37">
        <v>28</v>
      </c>
      <c r="B31" s="87" t="s">
        <v>109</v>
      </c>
      <c r="C31" s="87"/>
      <c r="D31" s="41"/>
      <c r="E31" s="41"/>
      <c r="F31" s="88"/>
      <c r="G31" s="88"/>
      <c r="H31" s="88"/>
      <c r="I31" s="88"/>
      <c r="J31" s="88"/>
      <c r="K31" s="88"/>
      <c r="L31" s="88"/>
      <c r="M31" s="88"/>
      <c r="N31" s="89"/>
      <c r="O31" s="90"/>
      <c r="P31" s="90"/>
      <c r="Q31" s="90"/>
      <c r="R31" s="91"/>
    </row>
    <row r="32" spans="1:18" ht="14.25">
      <c r="A32" s="37">
        <v>29</v>
      </c>
      <c r="B32" s="87" t="s">
        <v>109</v>
      </c>
      <c r="C32" s="87"/>
      <c r="D32" s="41"/>
      <c r="E32" s="41"/>
      <c r="F32" s="88"/>
      <c r="G32" s="88"/>
      <c r="H32" s="88"/>
      <c r="I32" s="88"/>
      <c r="J32" s="88"/>
      <c r="K32" s="88"/>
      <c r="L32" s="88"/>
      <c r="M32" s="88"/>
      <c r="N32" s="89"/>
      <c r="O32" s="90"/>
      <c r="P32" s="90"/>
      <c r="Q32" s="90"/>
      <c r="R32" s="91"/>
    </row>
    <row r="33" spans="1:18" ht="14.25">
      <c r="A33" s="37">
        <v>30</v>
      </c>
      <c r="B33" s="67" t="s">
        <v>31</v>
      </c>
      <c r="C33" s="68"/>
      <c r="D33" s="69"/>
      <c r="E33" s="70"/>
      <c r="F33" s="70"/>
      <c r="G33" s="70"/>
      <c r="H33" s="70"/>
      <c r="I33" s="70"/>
      <c r="J33" s="70"/>
      <c r="K33" s="70"/>
      <c r="L33" s="70"/>
      <c r="M33" s="70"/>
      <c r="N33" s="70"/>
      <c r="O33" s="70"/>
      <c r="P33" s="70"/>
      <c r="Q33" s="70"/>
      <c r="R33" s="71"/>
    </row>
    <row r="34" spans="1:18" ht="15" customHeight="1" thickBot="1">
      <c r="A34" s="42">
        <v>31</v>
      </c>
      <c r="B34" s="72" t="s">
        <v>32</v>
      </c>
      <c r="C34" s="73"/>
      <c r="D34" s="74"/>
      <c r="E34" s="74"/>
      <c r="F34" s="74"/>
      <c r="G34" s="74"/>
      <c r="H34" s="74"/>
      <c r="I34" s="74"/>
      <c r="J34" s="74"/>
      <c r="K34" s="74"/>
      <c r="L34" s="74"/>
      <c r="M34" s="74"/>
      <c r="N34" s="74"/>
      <c r="O34" s="74"/>
      <c r="P34" s="74"/>
      <c r="Q34" s="74"/>
      <c r="R34" s="75"/>
    </row>
    <row r="35" spans="1:18" ht="14.25">
      <c r="A35" s="76"/>
      <c r="B35" s="77"/>
      <c r="C35" s="77"/>
      <c r="D35" s="77"/>
      <c r="E35" s="77"/>
      <c r="F35" s="77"/>
      <c r="G35" s="77"/>
      <c r="H35" s="77"/>
      <c r="I35" s="77"/>
      <c r="J35" s="77"/>
      <c r="K35" s="77"/>
      <c r="L35" s="77"/>
      <c r="M35" s="82" t="s">
        <v>79</v>
      </c>
      <c r="N35" s="82"/>
      <c r="O35" s="82"/>
      <c r="P35" s="82"/>
      <c r="Q35" s="82"/>
      <c r="R35" s="83"/>
    </row>
    <row r="36" spans="1:26" ht="14.25">
      <c r="A36" s="78"/>
      <c r="B36" s="79"/>
      <c r="C36" s="79"/>
      <c r="D36" s="79"/>
      <c r="E36" s="79"/>
      <c r="F36" s="79"/>
      <c r="G36" s="79"/>
      <c r="H36" s="79"/>
      <c r="I36" s="79"/>
      <c r="J36" s="79"/>
      <c r="K36" s="79"/>
      <c r="L36" s="79"/>
      <c r="M36" s="84"/>
      <c r="N36" s="85"/>
      <c r="O36" s="85"/>
      <c r="P36" s="85"/>
      <c r="Q36" s="85"/>
      <c r="R36" s="86"/>
      <c r="Z36" s="12" t="e">
        <f>"NPSHA = "&amp;ROUND(AB11*10/N13,1)&amp;" MLC"</f>
        <v>#DIV/0!</v>
      </c>
    </row>
    <row r="37" spans="1:26" ht="14.25">
      <c r="A37" s="78"/>
      <c r="B37" s="79"/>
      <c r="C37" s="79"/>
      <c r="D37" s="79"/>
      <c r="E37" s="79"/>
      <c r="F37" s="79"/>
      <c r="G37" s="79"/>
      <c r="H37" s="79"/>
      <c r="I37" s="79"/>
      <c r="J37" s="79"/>
      <c r="K37" s="79"/>
      <c r="L37" s="79"/>
      <c r="M37" s="58"/>
      <c r="N37" s="59"/>
      <c r="O37" s="59"/>
      <c r="P37" s="59"/>
      <c r="Q37" s="59"/>
      <c r="R37" s="60"/>
      <c r="Z37" s="12" t="e">
        <f>"NPSHR = "&amp;ROUND(AB10*10/N13,1)&amp;" MLC"</f>
        <v>#DIV/0!</v>
      </c>
    </row>
    <row r="38" spans="1:26" ht="14.25">
      <c r="A38" s="78"/>
      <c r="B38" s="79"/>
      <c r="C38" s="79"/>
      <c r="D38" s="79"/>
      <c r="E38" s="79"/>
      <c r="F38" s="79"/>
      <c r="G38" s="79"/>
      <c r="H38" s="79"/>
      <c r="I38" s="79"/>
      <c r="J38" s="79"/>
      <c r="K38" s="79"/>
      <c r="L38" s="79"/>
      <c r="M38" s="58"/>
      <c r="N38" s="59"/>
      <c r="O38" s="59"/>
      <c r="P38" s="59"/>
      <c r="Q38" s="59"/>
      <c r="R38" s="60"/>
      <c r="Z38" s="12" t="e">
        <f>IF(OR(ROUND(AB12,2)&lt;0.1,ROUND(AB16,2)&lt;0.4),"Increase Suction Pipe NB","")</f>
        <v>#DIV/0!</v>
      </c>
    </row>
    <row r="39" spans="1:26" ht="14.25">
      <c r="A39" s="78"/>
      <c r="B39" s="79"/>
      <c r="C39" s="79"/>
      <c r="D39" s="79"/>
      <c r="E39" s="79"/>
      <c r="F39" s="79"/>
      <c r="G39" s="79"/>
      <c r="H39" s="79"/>
      <c r="I39" s="79"/>
      <c r="J39" s="79"/>
      <c r="K39" s="79"/>
      <c r="L39" s="79"/>
      <c r="M39" s="58"/>
      <c r="N39" s="59"/>
      <c r="O39" s="59"/>
      <c r="P39" s="59"/>
      <c r="Q39" s="59"/>
      <c r="R39" s="60"/>
      <c r="Z39" s="12" t="e">
        <f>IF(OR(ROUND(AB12,2)&lt;0.1,ROUND(AB16,2)&lt;0.4),"Increase Suction Static Head","")</f>
        <v>#DIV/0!</v>
      </c>
    </row>
    <row r="40" spans="1:26" ht="14.25">
      <c r="A40" s="78"/>
      <c r="B40" s="79"/>
      <c r="C40" s="79"/>
      <c r="D40" s="79"/>
      <c r="E40" s="79"/>
      <c r="F40" s="79"/>
      <c r="G40" s="79"/>
      <c r="H40" s="79"/>
      <c r="I40" s="79"/>
      <c r="J40" s="79"/>
      <c r="K40" s="79"/>
      <c r="L40" s="79"/>
      <c r="M40" s="58"/>
      <c r="N40" s="59"/>
      <c r="O40" s="59"/>
      <c r="P40" s="59"/>
      <c r="Q40" s="59"/>
      <c r="R40" s="60"/>
      <c r="Z40" s="12" t="e">
        <f>IF(OR(ROUND(AB12,2)&lt;0.1,ROUND(AB16,2)&lt;0.4),"Reduce Suction Pipe Horizontal Length","")</f>
        <v>#DIV/0!</v>
      </c>
    </row>
    <row r="41" spans="1:26" ht="14.25">
      <c r="A41" s="78"/>
      <c r="B41" s="79"/>
      <c r="C41" s="79"/>
      <c r="D41" s="79"/>
      <c r="E41" s="79"/>
      <c r="F41" s="79"/>
      <c r="G41" s="79"/>
      <c r="H41" s="79"/>
      <c r="I41" s="79"/>
      <c r="J41" s="79"/>
      <c r="K41" s="79"/>
      <c r="L41" s="79"/>
      <c r="M41" s="58"/>
      <c r="N41" s="59"/>
      <c r="O41" s="59"/>
      <c r="P41" s="59"/>
      <c r="Q41" s="59"/>
      <c r="R41" s="60"/>
      <c r="Z41" s="12" t="e">
        <f>IF(OR(AND(ROUND(AB12,2)&lt;0.1,L25="NO"),AND(ROUND(AB16,2)&lt;0.4,L25="NO")),"Provide Suction Damper of Minimum "&amp;ROUND(AB20,1)&amp;" Lit","")</f>
        <v>#DIV/0!</v>
      </c>
    </row>
    <row r="42" spans="1:26" ht="14.25">
      <c r="A42" s="78"/>
      <c r="B42" s="79"/>
      <c r="C42" s="79"/>
      <c r="D42" s="79"/>
      <c r="E42" s="79"/>
      <c r="F42" s="79"/>
      <c r="G42" s="79"/>
      <c r="H42" s="79"/>
      <c r="I42" s="79"/>
      <c r="J42" s="79"/>
      <c r="K42" s="79"/>
      <c r="L42" s="79"/>
      <c r="M42" s="64"/>
      <c r="N42" s="65"/>
      <c r="O42" s="65"/>
      <c r="P42" s="65"/>
      <c r="Q42" s="65"/>
      <c r="R42" s="66"/>
      <c r="Z42" s="12" t="e">
        <f>IF(AND(ROUND(AB16,2)&lt;0.4,O23="NO"),"Provide Back Pressure valve @ "&amp;ROUND(IF(ABS(AB13-0.4)&lt;1,1,ABS(AB13-0.4)),1)&amp;" Kg/cm sq","")</f>
        <v>#DIV/0!</v>
      </c>
    </row>
    <row r="43" spans="1:26" ht="14.25">
      <c r="A43" s="78"/>
      <c r="B43" s="79"/>
      <c r="C43" s="79"/>
      <c r="D43" s="79"/>
      <c r="E43" s="79"/>
      <c r="F43" s="79"/>
      <c r="G43" s="79"/>
      <c r="H43" s="79"/>
      <c r="I43" s="79"/>
      <c r="J43" s="79"/>
      <c r="K43" s="79"/>
      <c r="L43" s="79"/>
      <c r="M43" s="58"/>
      <c r="N43" s="59"/>
      <c r="O43" s="59"/>
      <c r="P43" s="59"/>
      <c r="Q43" s="59"/>
      <c r="R43" s="60"/>
      <c r="Z43" s="12" t="e">
        <f>IF(OR(ROUND(AB16,2)&lt;0.4,AND(J6&lt;ROUND(AB23,1),ROUND(AB9/AB23,2)&gt;0.2)),"Increse Discharge Pipe NB","")</f>
        <v>#DIV/0!</v>
      </c>
    </row>
    <row r="44" spans="1:26" ht="14.25">
      <c r="A44" s="78"/>
      <c r="B44" s="79"/>
      <c r="C44" s="79"/>
      <c r="D44" s="79"/>
      <c r="E44" s="79"/>
      <c r="F44" s="79"/>
      <c r="G44" s="79"/>
      <c r="H44" s="79"/>
      <c r="I44" s="79"/>
      <c r="J44" s="79"/>
      <c r="K44" s="79"/>
      <c r="L44" s="79"/>
      <c r="M44" s="58"/>
      <c r="N44" s="59"/>
      <c r="O44" s="59"/>
      <c r="P44" s="59"/>
      <c r="Q44" s="59"/>
      <c r="R44" s="60"/>
      <c r="Z44" s="12" t="e">
        <f>IF(OR(ROUND(AB16,2)&lt;0.4,AND(J6&lt;ROUND(AB23,1),ROUND(AB9/AB23,2)&gt;0.2)),"Reduce Discharge Pipe Horizontal Lenght","")</f>
        <v>#DIV/0!</v>
      </c>
    </row>
    <row r="45" spans="1:26" ht="14.25">
      <c r="A45" s="78"/>
      <c r="B45" s="79"/>
      <c r="C45" s="79"/>
      <c r="D45" s="79"/>
      <c r="E45" s="79"/>
      <c r="F45" s="79"/>
      <c r="G45" s="79"/>
      <c r="H45" s="79"/>
      <c r="I45" s="79"/>
      <c r="J45" s="79"/>
      <c r="K45" s="79"/>
      <c r="L45" s="79"/>
      <c r="M45" s="58"/>
      <c r="N45" s="59"/>
      <c r="O45" s="59"/>
      <c r="P45" s="59"/>
      <c r="Q45" s="59"/>
      <c r="R45" s="60"/>
      <c r="Z45" s="12" t="e">
        <f>IF(OR(AND(ROUND(AB16,2)&lt;0.4,O25="NO"),AND(J6&lt;ROUND(AB23,1),O25="NO",ROUND(AB9/AB23,2)&gt;0.2)),"Provide Discharge Damper of "&amp;ROUND(AB22,1)&amp;" Lit","")</f>
        <v>#DIV/0!</v>
      </c>
    </row>
    <row r="46" spans="1:26" ht="14.25">
      <c r="A46" s="78"/>
      <c r="B46" s="79"/>
      <c r="C46" s="79"/>
      <c r="D46" s="79"/>
      <c r="E46" s="79"/>
      <c r="F46" s="79"/>
      <c r="G46" s="79"/>
      <c r="H46" s="79"/>
      <c r="I46" s="79"/>
      <c r="J46" s="79"/>
      <c r="K46" s="79"/>
      <c r="L46" s="79"/>
      <c r="M46" s="58"/>
      <c r="N46" s="59"/>
      <c r="O46" s="59"/>
      <c r="P46" s="59"/>
      <c r="Q46" s="59"/>
      <c r="R46" s="60"/>
      <c r="U46" s="1"/>
      <c r="Z46" s="12" t="e">
        <f>IF(AND(L25="YES",N25&lt;AB20*0.95),"Increase Suction Damper Volume to "&amp;ROUND(AB20,1)&amp;" Lit","")</f>
        <v>#DIV/0!</v>
      </c>
    </row>
    <row r="47" spans="1:26" ht="14.25">
      <c r="A47" s="78"/>
      <c r="B47" s="79"/>
      <c r="C47" s="79"/>
      <c r="D47" s="79"/>
      <c r="E47" s="79"/>
      <c r="F47" s="79"/>
      <c r="G47" s="79"/>
      <c r="H47" s="79"/>
      <c r="I47" s="79"/>
      <c r="J47" s="79"/>
      <c r="K47" s="79"/>
      <c r="L47" s="79"/>
      <c r="M47" s="58"/>
      <c r="N47" s="59"/>
      <c r="O47" s="59"/>
      <c r="P47" s="59"/>
      <c r="Q47" s="59"/>
      <c r="R47" s="60"/>
      <c r="Z47" s="12" t="e">
        <f>IF(AND(O25="YES",Q25&lt;AB22*0.95),"Increase Discharge Damper Volume to "&amp;ROUND(AB22,1)&amp;" Lit","")</f>
        <v>#DIV/0!</v>
      </c>
    </row>
    <row r="48" spans="1:26" ht="14.25">
      <c r="A48" s="78"/>
      <c r="B48" s="79"/>
      <c r="C48" s="79"/>
      <c r="D48" s="79"/>
      <c r="E48" s="79"/>
      <c r="F48" s="79"/>
      <c r="G48" s="79"/>
      <c r="H48" s="79"/>
      <c r="I48" s="79"/>
      <c r="J48" s="79"/>
      <c r="K48" s="79"/>
      <c r="L48" s="79"/>
      <c r="M48" s="58"/>
      <c r="N48" s="59"/>
      <c r="O48" s="59"/>
      <c r="P48" s="59"/>
      <c r="Q48" s="59"/>
      <c r="R48" s="60"/>
      <c r="Z48" s="12" t="e">
        <f>IF(AND(O23="YES",Q23&lt;ROUND(AB14,1)),"Increase BPV Setting to "&amp;ROUND(AB14,1)&amp;" Kg/Cm Sq",IF(AND(O23="YES",AB14=0),"BPV is not required",IF(AND(O23="YES",Q23&gt;ROUND(AB14*1.05,1)),"Reduce BPV Setting to "&amp;ROUND(AB14,1)&amp;" Kg/Cm Sq","")))</f>
        <v>#DIV/0!</v>
      </c>
    </row>
    <row r="49" spans="1:26" ht="14.25">
      <c r="A49" s="78"/>
      <c r="B49" s="79"/>
      <c r="C49" s="79"/>
      <c r="D49" s="79"/>
      <c r="E49" s="79"/>
      <c r="F49" s="79"/>
      <c r="G49" s="79"/>
      <c r="H49" s="79"/>
      <c r="I49" s="79"/>
      <c r="J49" s="79"/>
      <c r="K49" s="79"/>
      <c r="L49" s="79"/>
      <c r="M49" s="58"/>
      <c r="N49" s="59"/>
      <c r="O49" s="59"/>
      <c r="P49" s="59"/>
      <c r="Q49" s="59"/>
      <c r="R49" s="60"/>
      <c r="Z49" s="12" t="e">
        <f>IF(J6&lt;ROUND(AB23,1),"Required Min Pump Disch Pr ="&amp;ROUND(AB23,1)&amp;" Kg/cm sq","")</f>
        <v>#DIV/0!</v>
      </c>
    </row>
    <row r="50" spans="1:26" ht="14.25">
      <c r="A50" s="78"/>
      <c r="B50" s="79"/>
      <c r="C50" s="79"/>
      <c r="D50" s="79"/>
      <c r="E50" s="79"/>
      <c r="F50" s="79"/>
      <c r="G50" s="79"/>
      <c r="H50" s="79"/>
      <c r="I50" s="79"/>
      <c r="J50" s="79"/>
      <c r="K50" s="79"/>
      <c r="L50" s="79"/>
      <c r="M50" s="58"/>
      <c r="N50" s="59"/>
      <c r="O50" s="59"/>
      <c r="P50" s="59"/>
      <c r="Q50" s="59"/>
      <c r="R50" s="60"/>
      <c r="Z50" s="12" t="e">
        <f>IF(O24&lt;ROUND(IF(AB23&lt;10,AB23+1,AB23*1.1),1),"Required Min SRV Set Pr = "&amp;ROUND(IF(AB23&lt;10,AB23+1,AB23*1.1),1)&amp;" Kg/cm sq","")</f>
        <v>#DIV/0!</v>
      </c>
    </row>
    <row r="51" spans="1:26" ht="14.25">
      <c r="A51" s="78"/>
      <c r="B51" s="79"/>
      <c r="C51" s="79"/>
      <c r="D51" s="79"/>
      <c r="E51" s="79"/>
      <c r="F51" s="79"/>
      <c r="G51" s="79"/>
      <c r="H51" s="79"/>
      <c r="I51" s="79"/>
      <c r="J51" s="79"/>
      <c r="K51" s="79"/>
      <c r="L51" s="79"/>
      <c r="M51" s="58"/>
      <c r="N51" s="59"/>
      <c r="O51" s="59"/>
      <c r="P51" s="59"/>
      <c r="Q51" s="59"/>
      <c r="R51" s="60"/>
      <c r="Z51" s="12">
        <f>IF(L22="NO","Suction Strainer is Mandatory","")</f>
      </c>
    </row>
    <row r="52" spans="1:18" ht="14.25">
      <c r="A52" s="78"/>
      <c r="B52" s="79"/>
      <c r="C52" s="79"/>
      <c r="D52" s="79"/>
      <c r="E52" s="79"/>
      <c r="F52" s="79"/>
      <c r="G52" s="79"/>
      <c r="H52" s="79"/>
      <c r="I52" s="79"/>
      <c r="J52" s="79"/>
      <c r="K52" s="79"/>
      <c r="L52" s="79"/>
      <c r="M52" s="58"/>
      <c r="N52" s="59"/>
      <c r="O52" s="59"/>
      <c r="P52" s="59"/>
      <c r="Q52" s="59"/>
      <c r="R52" s="60"/>
    </row>
    <row r="53" spans="1:18" ht="14.25">
      <c r="A53" s="78"/>
      <c r="B53" s="79"/>
      <c r="C53" s="79"/>
      <c r="D53" s="79"/>
      <c r="E53" s="79"/>
      <c r="F53" s="79"/>
      <c r="G53" s="79"/>
      <c r="H53" s="79"/>
      <c r="I53" s="79"/>
      <c r="J53" s="79"/>
      <c r="K53" s="79"/>
      <c r="L53" s="79"/>
      <c r="M53" s="58"/>
      <c r="N53" s="59"/>
      <c r="O53" s="59"/>
      <c r="P53" s="59"/>
      <c r="Q53" s="59"/>
      <c r="R53" s="60"/>
    </row>
    <row r="54" spans="1:18" ht="14.25">
      <c r="A54" s="78"/>
      <c r="B54" s="79"/>
      <c r="C54" s="79"/>
      <c r="D54" s="79"/>
      <c r="E54" s="79"/>
      <c r="F54" s="79"/>
      <c r="G54" s="79"/>
      <c r="H54" s="79"/>
      <c r="I54" s="79"/>
      <c r="J54" s="79"/>
      <c r="K54" s="79"/>
      <c r="L54" s="79"/>
      <c r="M54" s="58"/>
      <c r="N54" s="59"/>
      <c r="O54" s="59"/>
      <c r="P54" s="59"/>
      <c r="Q54" s="59"/>
      <c r="R54" s="60"/>
    </row>
    <row r="55" spans="1:18" ht="14.25">
      <c r="A55" s="78"/>
      <c r="B55" s="79"/>
      <c r="C55" s="79"/>
      <c r="D55" s="79"/>
      <c r="E55" s="79"/>
      <c r="F55" s="79"/>
      <c r="G55" s="79"/>
      <c r="H55" s="79"/>
      <c r="I55" s="79"/>
      <c r="J55" s="79"/>
      <c r="K55" s="79"/>
      <c r="L55" s="79"/>
      <c r="M55" s="58"/>
      <c r="N55" s="59"/>
      <c r="O55" s="59"/>
      <c r="P55" s="59"/>
      <c r="Q55" s="59"/>
      <c r="R55" s="60"/>
    </row>
    <row r="56" spans="1:26" ht="14.25">
      <c r="A56" s="78"/>
      <c r="B56" s="79"/>
      <c r="C56" s="79"/>
      <c r="D56" s="79"/>
      <c r="E56" s="79"/>
      <c r="F56" s="79"/>
      <c r="G56" s="79"/>
      <c r="H56" s="79"/>
      <c r="I56" s="79"/>
      <c r="J56" s="79"/>
      <c r="K56" s="79"/>
      <c r="L56" s="79"/>
      <c r="M56" s="58"/>
      <c r="N56" s="59"/>
      <c r="O56" s="59"/>
      <c r="P56" s="59"/>
      <c r="Q56" s="59"/>
      <c r="R56" s="60"/>
      <c r="Z56" s="12" t="e">
        <f>IF(AND(Z38="",Z39="",Z40="",Z41="",Z42="",Z43="",Z44="",Z45="",Z46="",Z47="",Z48="",Z49="",Z50="",Z51="",Z52="",Z53="",Z54="",Z55=""),"Acceptable Installation","")</f>
        <v>#DIV/0!</v>
      </c>
    </row>
    <row r="57" spans="1:18" ht="15" thickBot="1">
      <c r="A57" s="80"/>
      <c r="B57" s="81"/>
      <c r="C57" s="81"/>
      <c r="D57" s="81"/>
      <c r="E57" s="81"/>
      <c r="F57" s="81"/>
      <c r="G57" s="81"/>
      <c r="H57" s="81"/>
      <c r="I57" s="81"/>
      <c r="J57" s="81"/>
      <c r="K57" s="81"/>
      <c r="L57" s="81"/>
      <c r="M57" s="61"/>
      <c r="N57" s="62"/>
      <c r="O57" s="62"/>
      <c r="P57" s="62"/>
      <c r="Q57" s="62"/>
      <c r="R57" s="63"/>
    </row>
    <row r="58" spans="1:18" ht="14.25">
      <c r="A58" s="45" t="s">
        <v>33</v>
      </c>
      <c r="B58" s="46"/>
      <c r="C58" s="46"/>
      <c r="D58" s="46"/>
      <c r="E58" s="46"/>
      <c r="F58" s="46"/>
      <c r="G58" s="46"/>
      <c r="H58" s="46"/>
      <c r="I58" s="46"/>
      <c r="J58" s="46"/>
      <c r="K58" s="46"/>
      <c r="L58" s="46"/>
      <c r="M58" s="46"/>
      <c r="N58" s="46"/>
      <c r="O58" s="46"/>
      <c r="P58" s="46"/>
      <c r="Q58" s="46"/>
      <c r="R58" s="47"/>
    </row>
    <row r="59" spans="1:18" ht="15" customHeight="1">
      <c r="A59" s="48" t="s">
        <v>44</v>
      </c>
      <c r="B59" s="49"/>
      <c r="C59" s="49"/>
      <c r="D59" s="49"/>
      <c r="E59" s="49"/>
      <c r="F59" s="49"/>
      <c r="G59" s="49"/>
      <c r="H59" s="49"/>
      <c r="I59" s="49"/>
      <c r="J59" s="49"/>
      <c r="K59" s="49"/>
      <c r="L59" s="49"/>
      <c r="M59" s="49"/>
      <c r="N59" s="49"/>
      <c r="O59" s="49"/>
      <c r="P59" s="49"/>
      <c r="Q59" s="49"/>
      <c r="R59" s="50"/>
    </row>
    <row r="60" spans="1:18" ht="15" customHeight="1">
      <c r="A60" s="48" t="s">
        <v>45</v>
      </c>
      <c r="B60" s="49"/>
      <c r="C60" s="49"/>
      <c r="D60" s="49"/>
      <c r="E60" s="49"/>
      <c r="F60" s="49"/>
      <c r="G60" s="49"/>
      <c r="H60" s="49"/>
      <c r="I60" s="49"/>
      <c r="J60" s="49"/>
      <c r="K60" s="49"/>
      <c r="L60" s="49"/>
      <c r="M60" s="49"/>
      <c r="N60" s="49"/>
      <c r="O60" s="49"/>
      <c r="P60" s="49"/>
      <c r="Q60" s="49"/>
      <c r="R60" s="50"/>
    </row>
    <row r="61" spans="1:18" ht="15" customHeight="1">
      <c r="A61" s="48" t="s">
        <v>46</v>
      </c>
      <c r="B61" s="49"/>
      <c r="C61" s="49"/>
      <c r="D61" s="49"/>
      <c r="E61" s="49"/>
      <c r="F61" s="49"/>
      <c r="G61" s="49"/>
      <c r="H61" s="49"/>
      <c r="I61" s="49"/>
      <c r="J61" s="49"/>
      <c r="K61" s="49"/>
      <c r="L61" s="49"/>
      <c r="M61" s="49"/>
      <c r="N61" s="49"/>
      <c r="O61" s="49"/>
      <c r="P61" s="49"/>
      <c r="Q61" s="49"/>
      <c r="R61" s="50"/>
    </row>
    <row r="62" spans="1:18" ht="25.5" customHeight="1" thickBot="1">
      <c r="A62" s="51" t="s">
        <v>50</v>
      </c>
      <c r="B62" s="52"/>
      <c r="C62" s="52"/>
      <c r="D62" s="52"/>
      <c r="E62" s="52"/>
      <c r="F62" s="52"/>
      <c r="G62" s="52"/>
      <c r="H62" s="52"/>
      <c r="I62" s="53"/>
      <c r="J62" s="53"/>
      <c r="K62" s="53"/>
      <c r="L62" s="53"/>
      <c r="M62" s="53"/>
      <c r="N62" s="53"/>
      <c r="O62" s="53"/>
      <c r="P62" s="53"/>
      <c r="Q62" s="53"/>
      <c r="R62" s="54"/>
    </row>
    <row r="63" spans="2:8" ht="15">
      <c r="B63" s="55" t="s">
        <v>90</v>
      </c>
      <c r="C63" s="56"/>
      <c r="D63" s="56"/>
      <c r="E63" s="56"/>
      <c r="F63" s="56"/>
      <c r="G63" s="56"/>
      <c r="H63" s="57"/>
    </row>
    <row r="64" spans="2:8" ht="14.25">
      <c r="B64" s="4"/>
      <c r="C64" s="43" t="s">
        <v>85</v>
      </c>
      <c r="D64" s="43"/>
      <c r="E64" s="43"/>
      <c r="F64" s="2" t="s">
        <v>96</v>
      </c>
      <c r="G64" s="3"/>
      <c r="H64" s="5"/>
    </row>
    <row r="65" spans="2:8" ht="14.25">
      <c r="B65" s="4"/>
      <c r="C65" s="43" t="s">
        <v>86</v>
      </c>
      <c r="D65" s="43"/>
      <c r="E65" s="43"/>
      <c r="F65" s="2"/>
      <c r="G65" s="3"/>
      <c r="H65" s="5"/>
    </row>
    <row r="66" spans="2:8" ht="14.25">
      <c r="B66" s="4"/>
      <c r="C66" s="43" t="s">
        <v>87</v>
      </c>
      <c r="D66" s="43"/>
      <c r="E66" s="43"/>
      <c r="F66" s="2"/>
      <c r="G66" s="3"/>
      <c r="H66" s="5"/>
    </row>
    <row r="67" spans="2:8" ht="14.25">
      <c r="B67" s="4"/>
      <c r="C67" s="43" t="s">
        <v>88</v>
      </c>
      <c r="D67" s="43"/>
      <c r="E67" s="43"/>
      <c r="F67" s="2"/>
      <c r="G67" s="3"/>
      <c r="H67" s="5"/>
    </row>
    <row r="68" spans="2:8" ht="14.25">
      <c r="B68" s="4"/>
      <c r="C68" s="43" t="s">
        <v>89</v>
      </c>
      <c r="D68" s="43"/>
      <c r="E68" s="43"/>
      <c r="F68" s="2"/>
      <c r="G68" s="3"/>
      <c r="H68" s="5"/>
    </row>
    <row r="69" spans="2:8" ht="15" thickBot="1">
      <c r="B69" s="6"/>
      <c r="C69" s="44" t="s">
        <v>91</v>
      </c>
      <c r="D69" s="44"/>
      <c r="E69" s="44"/>
      <c r="F69" s="7" t="str">
        <f>IF(AND(F64="Yes",F67&gt;0,F68&gt;0),"Yes","No")</f>
        <v>No</v>
      </c>
      <c r="G69" s="8"/>
      <c r="H69" s="9"/>
    </row>
  </sheetData>
  <sheetProtection password="C699" sheet="1" objects="1" scenarios="1" selectLockedCells="1"/>
  <mergeCells count="164">
    <mergeCell ref="A1:C3"/>
    <mergeCell ref="D1:I1"/>
    <mergeCell ref="J1:N1"/>
    <mergeCell ref="O1:R1"/>
    <mergeCell ref="D2:I2"/>
    <mergeCell ref="J2:N2"/>
    <mergeCell ref="O2:R2"/>
    <mergeCell ref="D3:I3"/>
    <mergeCell ref="J3:N3"/>
    <mergeCell ref="O3:R3"/>
    <mergeCell ref="A4:C4"/>
    <mergeCell ref="D4:R4"/>
    <mergeCell ref="Z4:AB4"/>
    <mergeCell ref="AC4:AD4"/>
    <mergeCell ref="B5:C5"/>
    <mergeCell ref="D5:F5"/>
    <mergeCell ref="H5:I5"/>
    <mergeCell ref="J5:O5"/>
    <mergeCell ref="P5:Q5"/>
    <mergeCell ref="B6:C6"/>
    <mergeCell ref="D6:F6"/>
    <mergeCell ref="H6:I6"/>
    <mergeCell ref="J6:M6"/>
    <mergeCell ref="N6:O6"/>
    <mergeCell ref="P6:Q6"/>
    <mergeCell ref="B7:C7"/>
    <mergeCell ref="D7:F7"/>
    <mergeCell ref="H7:I7"/>
    <mergeCell ref="J7:M7"/>
    <mergeCell ref="N7:O7"/>
    <mergeCell ref="P7:Q7"/>
    <mergeCell ref="B8:C8"/>
    <mergeCell ref="D8:F8"/>
    <mergeCell ref="H8:I8"/>
    <mergeCell ref="J8:M8"/>
    <mergeCell ref="N8:O8"/>
    <mergeCell ref="P8:Q8"/>
    <mergeCell ref="A9:R9"/>
    <mergeCell ref="A10:R10"/>
    <mergeCell ref="B11:E11"/>
    <mergeCell ref="F11:I11"/>
    <mergeCell ref="K11:M11"/>
    <mergeCell ref="N11:R11"/>
    <mergeCell ref="B12:E12"/>
    <mergeCell ref="F12:I12"/>
    <mergeCell ref="K12:M12"/>
    <mergeCell ref="N12:R12"/>
    <mergeCell ref="B13:E13"/>
    <mergeCell ref="F13:I13"/>
    <mergeCell ref="K13:M13"/>
    <mergeCell ref="N13:R13"/>
    <mergeCell ref="B14:E14"/>
    <mergeCell ref="F14:I14"/>
    <mergeCell ref="K14:M14"/>
    <mergeCell ref="N14:R14"/>
    <mergeCell ref="B15:E15"/>
    <mergeCell ref="F15:G15"/>
    <mergeCell ref="H15:I15"/>
    <mergeCell ref="K15:M15"/>
    <mergeCell ref="N15:R15"/>
    <mergeCell ref="A16:R16"/>
    <mergeCell ref="A17:K17"/>
    <mergeCell ref="L17:N17"/>
    <mergeCell ref="O17:R17"/>
    <mergeCell ref="B18:K18"/>
    <mergeCell ref="L18:N18"/>
    <mergeCell ref="O18:R18"/>
    <mergeCell ref="B19:K19"/>
    <mergeCell ref="L19:N19"/>
    <mergeCell ref="O19:R19"/>
    <mergeCell ref="B20:K20"/>
    <mergeCell ref="M20:N20"/>
    <mergeCell ref="P20:R20"/>
    <mergeCell ref="B21:K21"/>
    <mergeCell ref="L21:N21"/>
    <mergeCell ref="O21:R21"/>
    <mergeCell ref="B22:K22"/>
    <mergeCell ref="L22:N22"/>
    <mergeCell ref="O22:R22"/>
    <mergeCell ref="B23:K23"/>
    <mergeCell ref="L23:N23"/>
    <mergeCell ref="O23:P23"/>
    <mergeCell ref="Q23:R23"/>
    <mergeCell ref="B24:K24"/>
    <mergeCell ref="L24:N24"/>
    <mergeCell ref="O24:R24"/>
    <mergeCell ref="L25:M25"/>
    <mergeCell ref="O25:P25"/>
    <mergeCell ref="Q25:R25"/>
    <mergeCell ref="B26:C26"/>
    <mergeCell ref="D26:H26"/>
    <mergeCell ref="I26:R26"/>
    <mergeCell ref="H25:K25"/>
    <mergeCell ref="B25:F25"/>
    <mergeCell ref="B27:C27"/>
    <mergeCell ref="F27:H27"/>
    <mergeCell ref="I27:K27"/>
    <mergeCell ref="L27:M27"/>
    <mergeCell ref="N27:R27"/>
    <mergeCell ref="B28:C28"/>
    <mergeCell ref="F28:H28"/>
    <mergeCell ref="I28:K28"/>
    <mergeCell ref="L28:M28"/>
    <mergeCell ref="N28:R28"/>
    <mergeCell ref="B29:C29"/>
    <mergeCell ref="F29:H29"/>
    <mergeCell ref="I29:K29"/>
    <mergeCell ref="L29:M29"/>
    <mergeCell ref="N29:R29"/>
    <mergeCell ref="B30:C30"/>
    <mergeCell ref="F30:H30"/>
    <mergeCell ref="I30:K30"/>
    <mergeCell ref="L30:M30"/>
    <mergeCell ref="N30:R30"/>
    <mergeCell ref="B31:C31"/>
    <mergeCell ref="F31:H31"/>
    <mergeCell ref="I31:K31"/>
    <mergeCell ref="L31:M31"/>
    <mergeCell ref="N31:R31"/>
    <mergeCell ref="B32:C32"/>
    <mergeCell ref="F32:H32"/>
    <mergeCell ref="I32:K32"/>
    <mergeCell ref="L32:M32"/>
    <mergeCell ref="N32:R32"/>
    <mergeCell ref="B33:C33"/>
    <mergeCell ref="D33:R33"/>
    <mergeCell ref="B34:C34"/>
    <mergeCell ref="D34:R34"/>
    <mergeCell ref="A35:L57"/>
    <mergeCell ref="M35:R35"/>
    <mergeCell ref="M36:R36"/>
    <mergeCell ref="M37:R37"/>
    <mergeCell ref="M38:R38"/>
    <mergeCell ref="M39:R39"/>
    <mergeCell ref="M40:R40"/>
    <mergeCell ref="M41:R41"/>
    <mergeCell ref="M42:R42"/>
    <mergeCell ref="M43:R43"/>
    <mergeCell ref="M44:R44"/>
    <mergeCell ref="M45:R45"/>
    <mergeCell ref="M46:R46"/>
    <mergeCell ref="M47:R47"/>
    <mergeCell ref="M48:R48"/>
    <mergeCell ref="M49:R49"/>
    <mergeCell ref="M50:R50"/>
    <mergeCell ref="M51:R51"/>
    <mergeCell ref="M52:R52"/>
    <mergeCell ref="M53:R53"/>
    <mergeCell ref="M54:R54"/>
    <mergeCell ref="M55:R55"/>
    <mergeCell ref="M56:R56"/>
    <mergeCell ref="M57:R57"/>
    <mergeCell ref="A58:R58"/>
    <mergeCell ref="A59:R59"/>
    <mergeCell ref="A60:R60"/>
    <mergeCell ref="A61:R61"/>
    <mergeCell ref="A62:R62"/>
    <mergeCell ref="B63:H63"/>
    <mergeCell ref="C64:E64"/>
    <mergeCell ref="C65:E65"/>
    <mergeCell ref="C66:E66"/>
    <mergeCell ref="C67:E67"/>
    <mergeCell ref="C68:E68"/>
    <mergeCell ref="C69:E69"/>
  </mergeCells>
  <conditionalFormatting sqref="AB12">
    <cfRule type="cellIs" priority="4" dxfId="96" operator="lessThan">
      <formula>0.1</formula>
    </cfRule>
  </conditionalFormatting>
  <conditionalFormatting sqref="AB16">
    <cfRule type="cellIs" priority="3" dxfId="96" operator="lessThan">
      <formula>0.4</formula>
    </cfRule>
  </conditionalFormatting>
  <conditionalFormatting sqref="AB23">
    <cfRule type="cellIs" priority="2" dxfId="96" operator="greaterThan">
      <formula>$J$6</formula>
    </cfRule>
  </conditionalFormatting>
  <conditionalFormatting sqref="F12">
    <cfRule type="cellIs" priority="1" dxfId="96" operator="greaterThan">
      <formula>90</formula>
    </cfRule>
  </conditionalFormatting>
  <conditionalFormatting sqref="A15:E15 J15:M15">
    <cfRule type="expression" priority="5" dxfId="97" stopIfTrue="1">
      <formula>$N$14="NO"</formula>
    </cfRule>
  </conditionalFormatting>
  <conditionalFormatting sqref="F13:I13 N11:R11">
    <cfRule type="cellIs" priority="6" dxfId="98" operator="greaterThan" stopIfTrue="1">
      <formula>200</formula>
    </cfRule>
  </conditionalFormatting>
  <conditionalFormatting sqref="N13:R13">
    <cfRule type="cellIs" priority="7" dxfId="98" operator="greaterThan" stopIfTrue="1">
      <formula>2</formula>
    </cfRule>
  </conditionalFormatting>
  <conditionalFormatting sqref="N14:R14">
    <cfRule type="cellIs" priority="8" dxfId="98" operator="equal" stopIfTrue="1">
      <formula>"YES"</formula>
    </cfRule>
  </conditionalFormatting>
  <conditionalFormatting sqref="H15:I15">
    <cfRule type="expression" priority="9" dxfId="97" stopIfTrue="1">
      <formula>$N$14="NO"</formula>
    </cfRule>
    <cfRule type="cellIs" priority="10" dxfId="98" operator="greaterThan" stopIfTrue="1">
      <formula>5</formula>
    </cfRule>
  </conditionalFormatting>
  <conditionalFormatting sqref="F15:G15">
    <cfRule type="expression" priority="11" dxfId="97" stopIfTrue="1">
      <formula>$N$14="NO"</formula>
    </cfRule>
    <cfRule type="cellIs" priority="12" dxfId="98" operator="greaterThan" stopIfTrue="1">
      <formula>50</formula>
    </cfRule>
  </conditionalFormatting>
  <conditionalFormatting sqref="N15:R15">
    <cfRule type="expression" priority="13" dxfId="97" stopIfTrue="1">
      <formula>$N$14="NO"</formula>
    </cfRule>
    <cfRule type="cellIs" priority="14" dxfId="98" operator="equal" stopIfTrue="1">
      <formula>"YES"</formula>
    </cfRule>
  </conditionalFormatting>
  <conditionalFormatting sqref="L18:R18">
    <cfRule type="cellIs" priority="15" dxfId="98" operator="lessThan" stopIfTrue="1">
      <formula>1</formula>
    </cfRule>
  </conditionalFormatting>
  <conditionalFormatting sqref="L20 O20">
    <cfRule type="cellIs" priority="16" dxfId="98" operator="equal" stopIfTrue="1">
      <formula>"-"</formula>
    </cfRule>
  </conditionalFormatting>
  <dataValidations count="25">
    <dataValidation type="decimal" showErrorMessage="1" errorTitle="SHAPOTOOLS" error="ENTER VALUE GREATER THAN SUCTION STATIC HEAD BELOW AND LESS THAN 50" sqref="L19">
      <formula1>M20</formula1>
      <formula2>50</formula2>
    </dataValidation>
    <dataValidation type="decimal" showErrorMessage="1" errorTitle="SHAPOTOOLS" error="ENTER VALUE GREATER THAN DISCHARGE STATIC HEAD BELOW &amp; LESS THAN 10000" sqref="O19">
      <formula1>P20</formula1>
      <formula2>10000</formula2>
    </dataValidation>
    <dataValidation type="decimal" showErrorMessage="1" errorTitle="SHAPOTOOLS" error="ENTER VALUE HIGHER THAN 0 AND LESS THAN TOTAL SUCTION  PIPE LENGTH ABOVE" sqref="M20">
      <formula1>0</formula1>
      <formula2>L19</formula2>
    </dataValidation>
    <dataValidation type="decimal" showErrorMessage="1" errorTitle="SHAPOTOOLS" error="ENTER VALUE HIGHER THAN 0 AND LESS THAN TOTAL DISCHARGE PIPE LENGTH ABOVE" sqref="P20">
      <formula1>0</formula1>
      <formula2>O19</formula2>
    </dataValidation>
    <dataValidation type="list" allowBlank="1" showErrorMessage="1" errorTitle="SHAPOTOOLS" error="ENTER YES OR NO" sqref="N15:R15 L25:M25 O25">
      <formula1>"YES,NO"</formula1>
    </dataValidation>
    <dataValidation type="list" showErrorMessage="1" errorTitle="SHAPOTOOLS" error="ENTER POSITIVE OR NEGATIVE" sqref="L20 O20">
      <formula1>"+,-"</formula1>
    </dataValidation>
    <dataValidation type="list" showErrorMessage="1" errorTitle="SHAPOTOOLS" error="ENTER YES OR NO" sqref="O23 L22 N14">
      <formula1>"YES,NO"</formula1>
    </dataValidation>
    <dataValidation type="list" showErrorMessage="1" errorTitle="SHAPOTOOLS" error="PLEASE SELECT PIPE NB" sqref="L21 O21">
      <formula1>"15,20,25,40,50,65,80,100,125,150"</formula1>
    </dataValidation>
    <dataValidation type="decimal" showErrorMessage="1" errorTitle="SHAPOTOOLS" error="ENTER VALUE BETWEEN 0 TO 5000" sqref="F13:I13">
      <formula1>0</formula1>
      <formula2>5000</formula2>
    </dataValidation>
    <dataValidation type="decimal" operator="greaterThanOrEqual" showErrorMessage="1" errorTitle="SHAPOTOOLS" error="ENTER VALUE BETWEEN 0 TO 5000" sqref="F15:G15">
      <formula1>0</formula1>
    </dataValidation>
    <dataValidation type="decimal" showErrorMessage="1" errorTitle="SHAPOTOOLS" error="ENTER VALUE BETWEEN 0 TO 100" sqref="H15:I15">
      <formula1>0</formula1>
      <formula2>100</formula2>
    </dataValidation>
    <dataValidation type="decimal" showErrorMessage="1" errorTitle="SHAPOTOOLS" error="ENTER VALUE BETWEEN 0 TO 1000000" sqref="N11:R11">
      <formula1>0</formula1>
      <formula2>100000</formula2>
    </dataValidation>
    <dataValidation type="decimal" showErrorMessage="1" errorTitle="SHAPOTOOLS" error="ENTER VALUE BETWEEN -50 TO +500" sqref="N12:R12 F12">
      <formula1>-50</formula1>
      <formula2>500</formula2>
    </dataValidation>
    <dataValidation type="decimal" showErrorMessage="1" errorTitle="SHAPOTOOLS" error="ENTER VALUE BETWEEN 0.2 TO 23" sqref="N13">
      <formula1>0.2</formula1>
      <formula2>23</formula2>
    </dataValidation>
    <dataValidation type="decimal" showErrorMessage="1" errorTitle="SHAPOTOOLS" error="ENTER VALUE BETWEEN 0 TO 500" sqref="L18:R18">
      <formula1>0</formula1>
      <formula2>500</formula2>
    </dataValidation>
    <dataValidation type="list" allowBlank="1" showInputMessage="1" errorTitle="SHAPOTOOLS" error="ENTER VALUE BETWEEN 0.1 TO 100" sqref="N25">
      <formula1>$AB$20:$AC$20</formula1>
    </dataValidation>
    <dataValidation type="decimal" showErrorMessage="1" errorTitle="SHAPOTOOLS" error="ENTER VALUE BETWEEN 0.1 TO 20000" sqref="D6">
      <formula1>0.1</formula1>
      <formula2>20000</formula2>
    </dataValidation>
    <dataValidation type="decimal" showErrorMessage="1" errorTitle="SHAPOTOOLS" error="ENTER VALUE BETWEEN 20 TO 300" sqref="D8">
      <formula1>20</formula1>
      <formula2>300</formula2>
    </dataValidation>
    <dataValidation type="decimal" allowBlank="1" showErrorMessage="1" errorTitle="SHAPOTOOLS" error="ENTER VALUE BETWEEN 0 TO 50" sqref="D33:R33">
      <formula1>0</formula1>
      <formula2>50</formula2>
    </dataValidation>
    <dataValidation type="whole" showInputMessage="1" showErrorMessage="1" sqref="U26">
      <formula1>0</formula1>
      <formula2>10</formula2>
    </dataValidation>
    <dataValidation type="decimal" showErrorMessage="1" errorTitle="SHAPOTOOLS" error="ENTER VALUE BETWEEN -1 TO 500" sqref="J6">
      <formula1>-1</formula1>
      <formula2>500</formula2>
    </dataValidation>
    <dataValidation type="list" allowBlank="1" showErrorMessage="1" errorTitle="SHAPOTOOLS" error="ENTERVALUE BETWEEN 1 AND 50" sqref="Q23:R23">
      <formula1>$AC$14:$AD$14</formula1>
    </dataValidation>
    <dataValidation type="list" allowBlank="1" sqref="Q25:R25">
      <formula1>$AB$22:$AC$22</formula1>
    </dataValidation>
    <dataValidation allowBlank="1" showInputMessage="1" sqref="O22:R22"/>
    <dataValidation type="list" allowBlank="1" sqref="O24:R24">
      <formula1>$Z$25:$Z$26</formula1>
    </dataValidation>
  </dataValidations>
  <printOptions/>
  <pageMargins left="0.7" right="0.7" top="0.75" bottom="0.75" header="0.3" footer="0.3"/>
  <pageSetup fitToHeight="1" fitToWidth="1" horizontalDpi="600" verticalDpi="600" orientation="portrait" paperSize="9" scale="69" r:id="rId5"/>
  <drawing r:id="rId4"/>
  <legacyDrawing r:id="rId3"/>
  <oleObjects>
    <oleObject progId="MSWordArt.2" shapeId="16557668" r:id="rId1"/>
    <oleObject progId="HarvardFX" shapeId="16557669" r:id="rId2"/>
  </oleObjects>
</worksheet>
</file>

<file path=xl/worksheets/sheet2.xml><?xml version="1.0" encoding="utf-8"?>
<worksheet xmlns="http://schemas.openxmlformats.org/spreadsheetml/2006/main" xmlns:r="http://schemas.openxmlformats.org/officeDocument/2006/relationships">
  <sheetPr codeName="Sheet6">
    <pageSetUpPr fitToPage="1"/>
  </sheetPr>
  <dimension ref="A1:AG69"/>
  <sheetViews>
    <sheetView zoomScale="80" zoomScaleNormal="80" zoomScalePageLayoutView="0" workbookViewId="0" topLeftCell="A1">
      <selection activeCell="D4" sqref="D4:R4"/>
    </sheetView>
  </sheetViews>
  <sheetFormatPr defaultColWidth="9.140625" defaultRowHeight="15"/>
  <cols>
    <col min="1" max="1" width="3.7109375" style="0" customWidth="1"/>
    <col min="3" max="3" width="4.57421875" style="0" customWidth="1"/>
    <col min="6" max="6" width="9.7109375" style="0" customWidth="1"/>
    <col min="7" max="7" width="2.7109375" style="0" customWidth="1"/>
    <col min="8" max="8" width="15.28125" style="0" customWidth="1"/>
    <col min="9" max="9" width="3.00390625" style="0" customWidth="1"/>
    <col min="10" max="10" width="3.7109375" style="0" customWidth="1"/>
    <col min="12" max="12" width="4.7109375" style="0" customWidth="1"/>
    <col min="13" max="13" width="10.28125" style="0" customWidth="1"/>
    <col min="14" max="14" width="8.7109375" style="0" customWidth="1"/>
    <col min="15" max="15" width="4.421875" style="0" customWidth="1"/>
    <col min="16" max="16" width="6.28125" style="0" customWidth="1"/>
    <col min="17" max="17" width="4.57421875" style="0" customWidth="1"/>
    <col min="18" max="18" width="8.28125" style="0" customWidth="1"/>
    <col min="20" max="20" width="13.7109375" style="0" customWidth="1"/>
    <col min="21" max="21" width="20.00390625" style="0" customWidth="1"/>
    <col min="26" max="26" width="9.28125" style="12" hidden="1" customWidth="1"/>
    <col min="27" max="27" width="24.421875" style="12" hidden="1" customWidth="1"/>
    <col min="28" max="31" width="9.28125" style="12" hidden="1" customWidth="1"/>
    <col min="32" max="32" width="15.28125" style="12" hidden="1" customWidth="1"/>
    <col min="33" max="33" width="9.28125" style="12" hidden="1" customWidth="1"/>
    <col min="34" max="35" width="9.28125" style="0" customWidth="1"/>
  </cols>
  <sheetData>
    <row r="1" spans="1:31" ht="23.25" customHeight="1">
      <c r="A1" s="143"/>
      <c r="B1" s="144"/>
      <c r="C1" s="144"/>
      <c r="D1" s="150" t="s">
        <v>0</v>
      </c>
      <c r="E1" s="150"/>
      <c r="F1" s="150"/>
      <c r="G1" s="150"/>
      <c r="H1" s="150"/>
      <c r="I1" s="150"/>
      <c r="J1" s="151" t="s">
        <v>38</v>
      </c>
      <c r="K1" s="151"/>
      <c r="L1" s="151"/>
      <c r="M1" s="151"/>
      <c r="N1" s="151"/>
      <c r="O1" s="152" t="s">
        <v>64</v>
      </c>
      <c r="P1" s="152"/>
      <c r="Q1" s="152"/>
      <c r="R1" s="153"/>
      <c r="T1" s="11"/>
      <c r="U1" s="24">
        <v>44782</v>
      </c>
      <c r="Z1" s="12" t="s">
        <v>55</v>
      </c>
      <c r="AB1" s="23">
        <v>0</v>
      </c>
      <c r="AC1" s="23">
        <v>1.5</v>
      </c>
      <c r="AE1" s="23">
        <v>0.69</v>
      </c>
    </row>
    <row r="2" spans="1:30" ht="15" customHeight="1">
      <c r="A2" s="145"/>
      <c r="B2" s="146"/>
      <c r="C2" s="147"/>
      <c r="D2" s="154" t="s">
        <v>112</v>
      </c>
      <c r="E2" s="155"/>
      <c r="F2" s="155"/>
      <c r="G2" s="155"/>
      <c r="H2" s="155"/>
      <c r="I2" s="155"/>
      <c r="J2" s="156" t="s">
        <v>1</v>
      </c>
      <c r="K2" s="157"/>
      <c r="L2" s="157"/>
      <c r="M2" s="157"/>
      <c r="N2" s="158"/>
      <c r="O2" s="159" t="s">
        <v>63</v>
      </c>
      <c r="P2" s="159"/>
      <c r="Q2" s="159"/>
      <c r="R2" s="160"/>
      <c r="U2" s="10"/>
      <c r="Z2" s="12" t="s">
        <v>56</v>
      </c>
      <c r="AB2" s="23">
        <v>0</v>
      </c>
      <c r="AC2" s="13"/>
      <c r="AD2" s="13"/>
    </row>
    <row r="3" spans="1:29" ht="15" customHeight="1" thickBot="1">
      <c r="A3" s="148"/>
      <c r="B3" s="149"/>
      <c r="C3" s="149"/>
      <c r="D3" s="161" t="s">
        <v>113</v>
      </c>
      <c r="E3" s="161"/>
      <c r="F3" s="161"/>
      <c r="G3" s="161"/>
      <c r="H3" s="161"/>
      <c r="I3" s="161"/>
      <c r="J3" s="162" t="s">
        <v>34</v>
      </c>
      <c r="K3" s="162"/>
      <c r="L3" s="162"/>
      <c r="M3" s="162"/>
      <c r="N3" s="162"/>
      <c r="O3" s="163" t="s">
        <v>37</v>
      </c>
      <c r="P3" s="163"/>
      <c r="Q3" s="163"/>
      <c r="R3" s="164"/>
      <c r="Z3" s="12" t="s">
        <v>57</v>
      </c>
      <c r="AB3" s="14">
        <f>N13*AB1*D8*D8*AB2*AB2/AC1/10000000</f>
        <v>0</v>
      </c>
      <c r="AC3" s="15" t="s">
        <v>53</v>
      </c>
    </row>
    <row r="4" spans="1:33" ht="15.75" customHeight="1">
      <c r="A4" s="136" t="s">
        <v>35</v>
      </c>
      <c r="B4" s="137"/>
      <c r="C4" s="137"/>
      <c r="D4" s="138"/>
      <c r="E4" s="139"/>
      <c r="F4" s="139"/>
      <c r="G4" s="139"/>
      <c r="H4" s="139"/>
      <c r="I4" s="139"/>
      <c r="J4" s="139"/>
      <c r="K4" s="139"/>
      <c r="L4" s="139"/>
      <c r="M4" s="139"/>
      <c r="N4" s="139"/>
      <c r="O4" s="139"/>
      <c r="P4" s="139"/>
      <c r="Q4" s="139"/>
      <c r="R4" s="140"/>
      <c r="Z4" s="141"/>
      <c r="AA4" s="141"/>
      <c r="AB4" s="141"/>
      <c r="AC4" s="141" t="s">
        <v>54</v>
      </c>
      <c r="AD4" s="141"/>
      <c r="AF4" s="12" t="s">
        <v>103</v>
      </c>
      <c r="AG4" s="12">
        <f>IF(ISERR(FIND(AF4,UPPER($J$5),1))=FALSE,0.35,0.15)</f>
        <v>0.15</v>
      </c>
    </row>
    <row r="5" spans="1:33" ht="15" customHeight="1">
      <c r="A5" s="28">
        <v>1</v>
      </c>
      <c r="B5" s="115" t="s">
        <v>52</v>
      </c>
      <c r="C5" s="115"/>
      <c r="D5" s="87"/>
      <c r="E5" s="87"/>
      <c r="F5" s="87"/>
      <c r="G5" s="29">
        <v>2</v>
      </c>
      <c r="H5" s="115" t="s">
        <v>47</v>
      </c>
      <c r="I5" s="115"/>
      <c r="J5" s="69"/>
      <c r="K5" s="70"/>
      <c r="L5" s="70"/>
      <c r="M5" s="70"/>
      <c r="N5" s="70"/>
      <c r="O5" s="123"/>
      <c r="P5" s="142" t="s">
        <v>3</v>
      </c>
      <c r="Q5" s="142"/>
      <c r="R5" s="30"/>
      <c r="U5" s="10"/>
      <c r="Z5" s="12" t="s">
        <v>58</v>
      </c>
      <c r="AB5" s="16">
        <f>AG10</f>
        <v>0.15</v>
      </c>
      <c r="AD5" s="27"/>
      <c r="AF5" s="12" t="s">
        <v>99</v>
      </c>
      <c r="AG5" s="12">
        <f>IF(ISERR(FIND(AF5,UPPER($J$5),1))=FALSE,0.15,0)</f>
        <v>0</v>
      </c>
    </row>
    <row r="6" spans="1:33" ht="15.75" customHeight="1">
      <c r="A6" s="28">
        <v>2</v>
      </c>
      <c r="B6" s="115" t="s">
        <v>4</v>
      </c>
      <c r="C6" s="115"/>
      <c r="D6" s="69"/>
      <c r="E6" s="70"/>
      <c r="F6" s="123"/>
      <c r="G6" s="29">
        <v>4</v>
      </c>
      <c r="H6" s="115" t="s">
        <v>84</v>
      </c>
      <c r="I6" s="115"/>
      <c r="J6" s="133"/>
      <c r="K6" s="134"/>
      <c r="L6" s="134"/>
      <c r="M6" s="135"/>
      <c r="N6" s="94" t="s">
        <v>5</v>
      </c>
      <c r="O6" s="94"/>
      <c r="P6" s="94" t="s">
        <v>6</v>
      </c>
      <c r="Q6" s="94"/>
      <c r="R6" s="31" t="s">
        <v>7</v>
      </c>
      <c r="U6" s="10"/>
      <c r="Z6" s="12" t="s">
        <v>68</v>
      </c>
      <c r="AB6" s="17" t="e">
        <f>AB3*L19/L21/L21</f>
        <v>#DIV/0!</v>
      </c>
      <c r="AF6" s="12" t="s">
        <v>101</v>
      </c>
      <c r="AG6" s="12">
        <f>IF(ISERR(FIND(AF6,UPPER($J$5),1))=FALSE,IF(AND(ISERR(FIND("SD",UPPER($J$5),1))=FALSE,ISERR(FIND("SDO",UPPER($J$5),1))=TRUE),0.05,0.1),0)</f>
        <v>0</v>
      </c>
    </row>
    <row r="7" spans="1:33" ht="14.25">
      <c r="A7" s="28">
        <v>5</v>
      </c>
      <c r="B7" s="115" t="s">
        <v>36</v>
      </c>
      <c r="C7" s="115"/>
      <c r="D7" s="87"/>
      <c r="E7" s="87"/>
      <c r="F7" s="87"/>
      <c r="G7" s="29">
        <v>6</v>
      </c>
      <c r="H7" s="115" t="s">
        <v>2</v>
      </c>
      <c r="I7" s="115"/>
      <c r="J7" s="87"/>
      <c r="K7" s="87"/>
      <c r="L7" s="87"/>
      <c r="M7" s="87"/>
      <c r="N7" s="88"/>
      <c r="O7" s="88"/>
      <c r="P7" s="88"/>
      <c r="Q7" s="88"/>
      <c r="R7" s="33"/>
      <c r="U7" s="10"/>
      <c r="Z7" s="12" t="s">
        <v>69</v>
      </c>
      <c r="AB7" s="17" t="e">
        <f>AB3*O19/O21/O21</f>
        <v>#DIV/0!</v>
      </c>
      <c r="AF7" s="12" t="s">
        <v>100</v>
      </c>
      <c r="AG7" s="12">
        <f>IF(ISERR(FIND(AF7,UPPER($J$5),1))=FALSE,0.1,0)</f>
        <v>0</v>
      </c>
    </row>
    <row r="8" spans="1:33" ht="15" customHeight="1" thickBot="1">
      <c r="A8" s="34">
        <v>7</v>
      </c>
      <c r="B8" s="131" t="s">
        <v>8</v>
      </c>
      <c r="C8" s="131"/>
      <c r="D8" s="119"/>
      <c r="E8" s="74"/>
      <c r="F8" s="120"/>
      <c r="G8" s="35">
        <v>8</v>
      </c>
      <c r="H8" s="131" t="s">
        <v>9</v>
      </c>
      <c r="I8" s="131"/>
      <c r="J8" s="121"/>
      <c r="K8" s="121"/>
      <c r="L8" s="121"/>
      <c r="M8" s="121"/>
      <c r="N8" s="132"/>
      <c r="O8" s="132"/>
      <c r="P8" s="132"/>
      <c r="Q8" s="132"/>
      <c r="R8" s="36"/>
      <c r="Z8" s="12" t="s">
        <v>60</v>
      </c>
      <c r="AB8" s="17" t="e">
        <f>AB6*IF(L25="NO",1,AB19/0.3/100)</f>
        <v>#DIV/0!</v>
      </c>
      <c r="AF8" s="12" t="s">
        <v>98</v>
      </c>
      <c r="AG8" s="12">
        <f>IF(AND(ISERR(FIND("SD",UPPER($J$5),1))=FALSE,ISERR(FIND("SDO",UPPER($J$5),1))=TRUE),0.05,0)</f>
        <v>0</v>
      </c>
    </row>
    <row r="9" spans="1:33" ht="15.75" thickBot="1">
      <c r="A9" s="125" t="s">
        <v>10</v>
      </c>
      <c r="B9" s="126"/>
      <c r="C9" s="126"/>
      <c r="D9" s="126"/>
      <c r="E9" s="126"/>
      <c r="F9" s="126"/>
      <c r="G9" s="126"/>
      <c r="H9" s="126"/>
      <c r="I9" s="126"/>
      <c r="J9" s="126"/>
      <c r="K9" s="126"/>
      <c r="L9" s="126"/>
      <c r="M9" s="126"/>
      <c r="N9" s="126"/>
      <c r="O9" s="126"/>
      <c r="P9" s="126"/>
      <c r="Q9" s="126"/>
      <c r="R9" s="127"/>
      <c r="Z9" s="12" t="s">
        <v>61</v>
      </c>
      <c r="AB9" s="17" t="e">
        <f>AB7*IF(O25="NO",1,AB21/0.3/100)</f>
        <v>#DIV/0!</v>
      </c>
      <c r="AF9" s="12" t="s">
        <v>97</v>
      </c>
      <c r="AG9" s="12">
        <f>IF(ISERR(FIND(AF9,UPPER($J$5),1))=FALSE,0.1,0)</f>
        <v>0</v>
      </c>
    </row>
    <row r="10" spans="1:33" ht="14.25">
      <c r="A10" s="128" t="s">
        <v>39</v>
      </c>
      <c r="B10" s="129"/>
      <c r="C10" s="129"/>
      <c r="D10" s="129"/>
      <c r="E10" s="129"/>
      <c r="F10" s="129"/>
      <c r="G10" s="129"/>
      <c r="H10" s="129"/>
      <c r="I10" s="129"/>
      <c r="J10" s="129"/>
      <c r="K10" s="129"/>
      <c r="L10" s="129"/>
      <c r="M10" s="129"/>
      <c r="N10" s="129"/>
      <c r="O10" s="129"/>
      <c r="P10" s="129"/>
      <c r="Q10" s="129"/>
      <c r="R10" s="130"/>
      <c r="Z10" s="12" t="s">
        <v>59</v>
      </c>
      <c r="AB10" s="17" t="e">
        <f>AB8+AB5</f>
        <v>#DIV/0!</v>
      </c>
      <c r="AF10" s="12" t="s">
        <v>102</v>
      </c>
      <c r="AG10" s="12">
        <f>AG4-AG5-AG6+AG7+AG8-AG9</f>
        <v>0.15</v>
      </c>
    </row>
    <row r="11" spans="1:28" ht="15" customHeight="1">
      <c r="A11" s="28">
        <v>9</v>
      </c>
      <c r="B11" s="115" t="s">
        <v>41</v>
      </c>
      <c r="C11" s="115"/>
      <c r="D11" s="115"/>
      <c r="E11" s="115"/>
      <c r="F11" s="87"/>
      <c r="G11" s="87"/>
      <c r="H11" s="87"/>
      <c r="I11" s="87"/>
      <c r="J11" s="29">
        <v>10</v>
      </c>
      <c r="K11" s="115" t="s">
        <v>81</v>
      </c>
      <c r="L11" s="115"/>
      <c r="M11" s="115"/>
      <c r="N11" s="87"/>
      <c r="O11" s="87"/>
      <c r="P11" s="87"/>
      <c r="Q11" s="87"/>
      <c r="R11" s="124"/>
      <c r="Z11" s="12" t="s">
        <v>62</v>
      </c>
      <c r="AB11" s="17">
        <f>L18+IF(L20="+",1,-1)*M20/10*N13-F13/760-0.1</f>
        <v>0.9</v>
      </c>
    </row>
    <row r="12" spans="1:29" ht="15" customHeight="1">
      <c r="A12" s="28">
        <v>11</v>
      </c>
      <c r="B12" s="115" t="s">
        <v>42</v>
      </c>
      <c r="C12" s="115"/>
      <c r="D12" s="115"/>
      <c r="E12" s="115"/>
      <c r="F12" s="69"/>
      <c r="G12" s="70"/>
      <c r="H12" s="70"/>
      <c r="I12" s="123"/>
      <c r="J12" s="29">
        <v>12</v>
      </c>
      <c r="K12" s="115" t="s">
        <v>11</v>
      </c>
      <c r="L12" s="115"/>
      <c r="M12" s="115"/>
      <c r="N12" s="87"/>
      <c r="O12" s="87"/>
      <c r="P12" s="87"/>
      <c r="Q12" s="87"/>
      <c r="R12" s="124"/>
      <c r="Z12" s="12" t="s">
        <v>70</v>
      </c>
      <c r="AB12" s="18" t="e">
        <f>AB11-AB10</f>
        <v>#DIV/0!</v>
      </c>
      <c r="AC12" s="12" t="s">
        <v>72</v>
      </c>
    </row>
    <row r="13" spans="1:28" ht="15" customHeight="1">
      <c r="A13" s="28">
        <v>13</v>
      </c>
      <c r="B13" s="115" t="s">
        <v>12</v>
      </c>
      <c r="C13" s="115"/>
      <c r="D13" s="115"/>
      <c r="E13" s="115"/>
      <c r="F13" s="87"/>
      <c r="G13" s="87"/>
      <c r="H13" s="87"/>
      <c r="I13" s="87"/>
      <c r="J13" s="29">
        <v>14</v>
      </c>
      <c r="K13" s="115" t="s">
        <v>13</v>
      </c>
      <c r="L13" s="115"/>
      <c r="M13" s="115"/>
      <c r="N13" s="69"/>
      <c r="O13" s="70"/>
      <c r="P13" s="70"/>
      <c r="Q13" s="70"/>
      <c r="R13" s="71"/>
      <c r="Z13" s="12" t="s">
        <v>71</v>
      </c>
      <c r="AB13" s="17" t="e">
        <f>O18+IF(O20="+",1,-1)*P20*N13/10-L18-IF(L20="+",1,-1)*M20*N13/10-AB8-AB9</f>
        <v>#DIV/0!</v>
      </c>
    </row>
    <row r="14" spans="1:30" ht="15" customHeight="1">
      <c r="A14" s="28">
        <v>15</v>
      </c>
      <c r="B14" s="115" t="s">
        <v>14</v>
      </c>
      <c r="C14" s="115"/>
      <c r="D14" s="115"/>
      <c r="E14" s="115"/>
      <c r="F14" s="87"/>
      <c r="G14" s="87"/>
      <c r="H14" s="87"/>
      <c r="I14" s="87"/>
      <c r="J14" s="29" t="s">
        <v>15</v>
      </c>
      <c r="K14" s="115" t="s">
        <v>16</v>
      </c>
      <c r="L14" s="115"/>
      <c r="M14" s="115"/>
      <c r="N14" s="69" t="s">
        <v>92</v>
      </c>
      <c r="O14" s="70"/>
      <c r="P14" s="70"/>
      <c r="Q14" s="70"/>
      <c r="R14" s="71"/>
      <c r="Z14" s="12" t="s">
        <v>94</v>
      </c>
      <c r="AB14" s="17" t="e">
        <f>IF(AB13&lt;0.4,IF(AB13&lt;-0.6,ABS(AB13-0.4),1),0)</f>
        <v>#DIV/0!</v>
      </c>
      <c r="AC14" s="26" t="e">
        <f>ROUND(AB14,1)</f>
        <v>#DIV/0!</v>
      </c>
      <c r="AD14" s="12" t="e">
        <f>IF(AB13&lt;0.4,ROUND(ABS(AB13-0.4)+0.05,1),0)</f>
        <v>#DIV/0!</v>
      </c>
    </row>
    <row r="15" spans="1:28" ht="22.5" customHeight="1" thickBot="1">
      <c r="A15" s="34" t="s">
        <v>17</v>
      </c>
      <c r="B15" s="116" t="s">
        <v>80</v>
      </c>
      <c r="C15" s="116"/>
      <c r="D15" s="116"/>
      <c r="E15" s="116"/>
      <c r="F15" s="117"/>
      <c r="G15" s="118"/>
      <c r="H15" s="119"/>
      <c r="I15" s="120"/>
      <c r="J15" s="35" t="s">
        <v>18</v>
      </c>
      <c r="K15" s="116" t="s">
        <v>19</v>
      </c>
      <c r="L15" s="116"/>
      <c r="M15" s="116"/>
      <c r="N15" s="121"/>
      <c r="O15" s="121"/>
      <c r="P15" s="121"/>
      <c r="Q15" s="121"/>
      <c r="R15" s="122"/>
      <c r="Z15" s="12" t="s">
        <v>95</v>
      </c>
      <c r="AB15" s="17" t="b">
        <f>IF(O23="YES",IF(Q23&gt;IF(AB14=0,1,AB14),Q23,IF(AB14=0,1,AB14)))</f>
        <v>0</v>
      </c>
    </row>
    <row r="16" spans="1:29" ht="15.75" thickBot="1">
      <c r="A16" s="110" t="s">
        <v>40</v>
      </c>
      <c r="B16" s="111"/>
      <c r="C16" s="111"/>
      <c r="D16" s="111"/>
      <c r="E16" s="111"/>
      <c r="F16" s="111"/>
      <c r="G16" s="111"/>
      <c r="H16" s="111"/>
      <c r="I16" s="111"/>
      <c r="J16" s="111"/>
      <c r="K16" s="111"/>
      <c r="L16" s="111"/>
      <c r="M16" s="111"/>
      <c r="N16" s="111"/>
      <c r="O16" s="111"/>
      <c r="P16" s="111"/>
      <c r="Q16" s="111"/>
      <c r="R16" s="112"/>
      <c r="Z16" s="12" t="s">
        <v>65</v>
      </c>
      <c r="AB16" s="17" t="e">
        <f>AB15+O18+IF(O20="+",1,-1)*P20*N13/10-L18-IF(L20="+",1,-1)*M20*N13/10-AB8-AB9</f>
        <v>#DIV/0!</v>
      </c>
      <c r="AC16" s="12" t="s">
        <v>73</v>
      </c>
    </row>
    <row r="17" spans="1:28" ht="15" customHeight="1">
      <c r="A17" s="113" t="s">
        <v>20</v>
      </c>
      <c r="B17" s="82"/>
      <c r="C17" s="82"/>
      <c r="D17" s="82"/>
      <c r="E17" s="82"/>
      <c r="F17" s="82"/>
      <c r="G17" s="82"/>
      <c r="H17" s="82"/>
      <c r="I17" s="82"/>
      <c r="J17" s="82"/>
      <c r="K17" s="82"/>
      <c r="L17" s="82" t="s">
        <v>21</v>
      </c>
      <c r="M17" s="82"/>
      <c r="N17" s="82"/>
      <c r="O17" s="82" t="s">
        <v>22</v>
      </c>
      <c r="P17" s="82"/>
      <c r="Q17" s="82"/>
      <c r="R17" s="83"/>
      <c r="Z17" s="12" t="s">
        <v>66</v>
      </c>
      <c r="AB17" s="17" t="e">
        <f>L18+IF(L20="+",1,-1)*M20/10*N13+AB8</f>
        <v>#DIV/0!</v>
      </c>
    </row>
    <row r="18" spans="1:28" ht="14.25">
      <c r="A18" s="37">
        <v>17</v>
      </c>
      <c r="B18" s="92" t="s">
        <v>105</v>
      </c>
      <c r="C18" s="92"/>
      <c r="D18" s="92"/>
      <c r="E18" s="92"/>
      <c r="F18" s="92"/>
      <c r="G18" s="92"/>
      <c r="H18" s="92"/>
      <c r="I18" s="92"/>
      <c r="J18" s="92"/>
      <c r="K18" s="92"/>
      <c r="L18" s="88">
        <v>1</v>
      </c>
      <c r="M18" s="88"/>
      <c r="N18" s="88"/>
      <c r="O18" s="88">
        <v>1</v>
      </c>
      <c r="P18" s="88"/>
      <c r="Q18" s="88"/>
      <c r="R18" s="114"/>
      <c r="Z18" s="19" t="s">
        <v>67</v>
      </c>
      <c r="AA18" s="19"/>
      <c r="AB18" s="20" t="e">
        <f>MAX(J6,O18+IF(O20="+",1,-1)*P20*N13/10+AB9+AB15)</f>
        <v>#DIV/0!</v>
      </c>
    </row>
    <row r="19" spans="1:28" ht="14.25">
      <c r="A19" s="37">
        <v>18</v>
      </c>
      <c r="B19" s="92" t="s">
        <v>23</v>
      </c>
      <c r="C19" s="92"/>
      <c r="D19" s="92"/>
      <c r="E19" s="92"/>
      <c r="F19" s="92"/>
      <c r="G19" s="92"/>
      <c r="H19" s="92"/>
      <c r="I19" s="92"/>
      <c r="J19" s="92"/>
      <c r="K19" s="92"/>
      <c r="L19" s="89"/>
      <c r="M19" s="90"/>
      <c r="N19" s="106"/>
      <c r="O19" s="89"/>
      <c r="P19" s="90"/>
      <c r="Q19" s="90"/>
      <c r="R19" s="91"/>
      <c r="Z19" s="12" t="s">
        <v>77</v>
      </c>
      <c r="AB19" s="21">
        <f>G25</f>
        <v>3</v>
      </c>
    </row>
    <row r="20" spans="1:30" ht="14.25">
      <c r="A20" s="37">
        <v>19</v>
      </c>
      <c r="B20" s="92" t="s">
        <v>104</v>
      </c>
      <c r="C20" s="92"/>
      <c r="D20" s="92"/>
      <c r="E20" s="92"/>
      <c r="F20" s="92"/>
      <c r="G20" s="92"/>
      <c r="H20" s="92"/>
      <c r="I20" s="92"/>
      <c r="J20" s="92"/>
      <c r="K20" s="92"/>
      <c r="L20" s="39" t="s">
        <v>48</v>
      </c>
      <c r="M20" s="89"/>
      <c r="N20" s="106"/>
      <c r="O20" s="39" t="s">
        <v>48</v>
      </c>
      <c r="P20" s="89"/>
      <c r="Q20" s="90"/>
      <c r="R20" s="91"/>
      <c r="Z20" s="12" t="s">
        <v>74</v>
      </c>
      <c r="AB20" s="21" t="e">
        <f>IF(AC20&lt;=0.55,0.5,IF(AC20&lt;=1.1,1,IF(AC20&lt;=2.2,2,IF(AC20&lt;=3.3,3,IF(AC20&lt;=5.5,5,IF(AC20&lt;=7.7,7,IF(AC20&lt;=11,10,IF(AC20&lt;=17.6,16,AD20))))))))</f>
        <v>#DIV/0!</v>
      </c>
      <c r="AC20" s="21" t="e">
        <f>ROUND((D6*AE1/60/D8)/((1/AB17/(1-AB19/100))^0.7193-(1/AB17/(1+AB19/100))^0.7193),1)</f>
        <v>#DIV/0!</v>
      </c>
      <c r="AD20" s="12" t="e">
        <f>IF(AC20&lt;=33,30,IF(AC20&lt;=44,40,IF(AC20&lt;=66,60,AC20)))</f>
        <v>#DIV/0!</v>
      </c>
    </row>
    <row r="21" spans="1:28" ht="14.25">
      <c r="A21" s="37">
        <v>20</v>
      </c>
      <c r="B21" s="92" t="s">
        <v>106</v>
      </c>
      <c r="C21" s="92"/>
      <c r="D21" s="92"/>
      <c r="E21" s="92"/>
      <c r="F21" s="92"/>
      <c r="G21" s="92"/>
      <c r="H21" s="92"/>
      <c r="I21" s="92"/>
      <c r="J21" s="92"/>
      <c r="K21" s="92"/>
      <c r="L21" s="89"/>
      <c r="M21" s="90"/>
      <c r="N21" s="106"/>
      <c r="O21" s="89"/>
      <c r="P21" s="90"/>
      <c r="Q21" s="90"/>
      <c r="R21" s="91"/>
      <c r="Z21" s="12" t="s">
        <v>76</v>
      </c>
      <c r="AB21" s="21">
        <f>G25</f>
        <v>3</v>
      </c>
    </row>
    <row r="22" spans="1:30" ht="14.25">
      <c r="A22" s="37">
        <v>21</v>
      </c>
      <c r="B22" s="92" t="s">
        <v>107</v>
      </c>
      <c r="C22" s="92"/>
      <c r="D22" s="92"/>
      <c r="E22" s="92"/>
      <c r="F22" s="92"/>
      <c r="G22" s="92"/>
      <c r="H22" s="92"/>
      <c r="I22" s="92"/>
      <c r="J22" s="92"/>
      <c r="K22" s="92"/>
      <c r="L22" s="89" t="s">
        <v>93</v>
      </c>
      <c r="M22" s="90"/>
      <c r="N22" s="106"/>
      <c r="O22" s="97" t="s">
        <v>24</v>
      </c>
      <c r="P22" s="108"/>
      <c r="Q22" s="108"/>
      <c r="R22" s="109"/>
      <c r="Z22" s="12" t="s">
        <v>75</v>
      </c>
      <c r="AB22" s="21" t="e">
        <f>IF(AC22&lt;=0.55,0.5,IF(AC22&lt;=1.1,1,IF(AC22&lt;=2.2,2,IF(AC22&lt;=3.3,3,IF(AC22&lt;=5.5,5,IF(AC22&lt;=7.7,7,IF(AC22&lt;=11,10,IF(AC22&lt;=17.6,16,AD22))))))))</f>
        <v>#DIV/0!</v>
      </c>
      <c r="AC22" s="12" t="e">
        <f>ROUND((D6*AE1/60/D8)/((1/AB18/(1-AB21/100))^0.7193-(1/AB18/(1+AB21/100))^0.7193),1)</f>
        <v>#DIV/0!</v>
      </c>
      <c r="AD22" s="12" t="e">
        <f>IF(AC22&lt;=33,30,IF(AC22&lt;=44,40,IF(AC22&lt;=66,60,AC22)))</f>
        <v>#DIV/0!</v>
      </c>
    </row>
    <row r="23" spans="1:29" ht="14.25">
      <c r="A23" s="37">
        <v>22</v>
      </c>
      <c r="B23" s="92" t="s">
        <v>49</v>
      </c>
      <c r="C23" s="92"/>
      <c r="D23" s="92"/>
      <c r="E23" s="92"/>
      <c r="F23" s="92"/>
      <c r="G23" s="92"/>
      <c r="H23" s="92"/>
      <c r="I23" s="92"/>
      <c r="J23" s="92"/>
      <c r="K23" s="92"/>
      <c r="L23" s="94" t="s">
        <v>24</v>
      </c>
      <c r="M23" s="94"/>
      <c r="N23" s="94"/>
      <c r="O23" s="89"/>
      <c r="P23" s="106"/>
      <c r="Q23" s="90"/>
      <c r="R23" s="91"/>
      <c r="Z23" s="12" t="s">
        <v>78</v>
      </c>
      <c r="AB23" s="22" t="e">
        <f>IF(ROUND(AB15+O18+IF(O20="+",1,-1)*P20*N13/10+AB9,1)&lt;=10,AB15+O18+IF(O20="+",1,-1)*P20*N13/10+AB9,(AB15+O18+IF(O20="+",1,-1)*P20*N13/10+AB9)*1.05)</f>
        <v>#DIV/0!</v>
      </c>
      <c r="AC23" s="12" t="s">
        <v>82</v>
      </c>
    </row>
    <row r="24" spans="1:18" ht="14.25">
      <c r="A24" s="37">
        <v>23</v>
      </c>
      <c r="B24" s="92" t="s">
        <v>43</v>
      </c>
      <c r="C24" s="92"/>
      <c r="D24" s="92"/>
      <c r="E24" s="92"/>
      <c r="F24" s="92"/>
      <c r="G24" s="107"/>
      <c r="H24" s="92"/>
      <c r="I24" s="92"/>
      <c r="J24" s="92"/>
      <c r="K24" s="92"/>
      <c r="L24" s="94" t="s">
        <v>24</v>
      </c>
      <c r="M24" s="94"/>
      <c r="N24" s="94"/>
      <c r="O24" s="89">
        <f>J6+1</f>
        <v>1</v>
      </c>
      <c r="P24" s="90"/>
      <c r="Q24" s="90"/>
      <c r="R24" s="91"/>
    </row>
    <row r="25" spans="1:27" ht="15" customHeight="1">
      <c r="A25" s="37">
        <v>24</v>
      </c>
      <c r="B25" s="67" t="s">
        <v>110</v>
      </c>
      <c r="C25" s="95"/>
      <c r="D25" s="95"/>
      <c r="E25" s="95"/>
      <c r="F25" s="95"/>
      <c r="G25" s="40">
        <v>3</v>
      </c>
      <c r="H25" s="104" t="s">
        <v>111</v>
      </c>
      <c r="I25" s="104"/>
      <c r="J25" s="104"/>
      <c r="K25" s="105"/>
      <c r="L25" s="88" t="s">
        <v>92</v>
      </c>
      <c r="M25" s="88"/>
      <c r="N25" s="32"/>
      <c r="O25" s="88" t="s">
        <v>92</v>
      </c>
      <c r="P25" s="88"/>
      <c r="Q25" s="89"/>
      <c r="R25" s="91"/>
      <c r="Z25" s="12">
        <f>IF(J6&lt;10,J6+1,J6*1.1)</f>
        <v>1</v>
      </c>
      <c r="AA25" s="12" t="s">
        <v>83</v>
      </c>
    </row>
    <row r="26" spans="1:26" ht="14.25">
      <c r="A26" s="37"/>
      <c r="B26" s="97"/>
      <c r="C26" s="98"/>
      <c r="D26" s="99" t="s">
        <v>21</v>
      </c>
      <c r="E26" s="100"/>
      <c r="F26" s="100"/>
      <c r="G26" s="101"/>
      <c r="H26" s="102"/>
      <c r="I26" s="99" t="s">
        <v>22</v>
      </c>
      <c r="J26" s="100"/>
      <c r="K26" s="100"/>
      <c r="L26" s="100"/>
      <c r="M26" s="100"/>
      <c r="N26" s="100"/>
      <c r="O26" s="100"/>
      <c r="P26" s="100"/>
      <c r="Q26" s="100"/>
      <c r="R26" s="103"/>
      <c r="Z26" s="12" t="e">
        <f>ROUND(IF(AB23&lt;10,AB23+1,AB23*1.1),1)</f>
        <v>#DIV/0!</v>
      </c>
    </row>
    <row r="27" spans="1:18" ht="14.25">
      <c r="A27" s="37"/>
      <c r="B27" s="67" t="s">
        <v>51</v>
      </c>
      <c r="C27" s="68"/>
      <c r="D27" s="38" t="s">
        <v>25</v>
      </c>
      <c r="E27" s="38" t="s">
        <v>26</v>
      </c>
      <c r="F27" s="92" t="s">
        <v>27</v>
      </c>
      <c r="G27" s="92"/>
      <c r="H27" s="92"/>
      <c r="I27" s="92" t="s">
        <v>25</v>
      </c>
      <c r="J27" s="92"/>
      <c r="K27" s="92"/>
      <c r="L27" s="94" t="s">
        <v>26</v>
      </c>
      <c r="M27" s="94"/>
      <c r="N27" s="67" t="s">
        <v>28</v>
      </c>
      <c r="O27" s="95"/>
      <c r="P27" s="95"/>
      <c r="Q27" s="95"/>
      <c r="R27" s="96"/>
    </row>
    <row r="28" spans="1:18" ht="15" customHeight="1">
      <c r="A28" s="37">
        <v>25</v>
      </c>
      <c r="B28" s="92" t="s">
        <v>29</v>
      </c>
      <c r="C28" s="92"/>
      <c r="D28" s="41"/>
      <c r="E28" s="41"/>
      <c r="F28" s="93"/>
      <c r="G28" s="93"/>
      <c r="H28" s="93"/>
      <c r="I28" s="93"/>
      <c r="J28" s="93"/>
      <c r="K28" s="93"/>
      <c r="L28" s="88"/>
      <c r="M28" s="88"/>
      <c r="N28" s="89"/>
      <c r="O28" s="90"/>
      <c r="P28" s="90"/>
      <c r="Q28" s="90"/>
      <c r="R28" s="91"/>
    </row>
    <row r="29" spans="1:18" ht="14.25">
      <c r="A29" s="37">
        <v>26</v>
      </c>
      <c r="B29" s="92" t="s">
        <v>30</v>
      </c>
      <c r="C29" s="92"/>
      <c r="D29" s="41"/>
      <c r="E29" s="41"/>
      <c r="F29" s="93"/>
      <c r="G29" s="93"/>
      <c r="H29" s="93"/>
      <c r="I29" s="93"/>
      <c r="J29" s="93"/>
      <c r="K29" s="93"/>
      <c r="L29" s="88"/>
      <c r="M29" s="88"/>
      <c r="N29" s="89"/>
      <c r="O29" s="90"/>
      <c r="P29" s="90"/>
      <c r="Q29" s="90"/>
      <c r="R29" s="91"/>
    </row>
    <row r="30" spans="1:18" ht="14.25">
      <c r="A30" s="37">
        <v>27</v>
      </c>
      <c r="B30" s="87" t="s">
        <v>108</v>
      </c>
      <c r="C30" s="87"/>
      <c r="D30" s="41"/>
      <c r="E30" s="41"/>
      <c r="F30" s="88"/>
      <c r="G30" s="88"/>
      <c r="H30" s="88"/>
      <c r="I30" s="88"/>
      <c r="J30" s="88"/>
      <c r="K30" s="88"/>
      <c r="L30" s="88"/>
      <c r="M30" s="88"/>
      <c r="N30" s="89"/>
      <c r="O30" s="90"/>
      <c r="P30" s="90"/>
      <c r="Q30" s="90"/>
      <c r="R30" s="91"/>
    </row>
    <row r="31" spans="1:18" ht="14.25">
      <c r="A31" s="37">
        <v>28</v>
      </c>
      <c r="B31" s="87" t="s">
        <v>109</v>
      </c>
      <c r="C31" s="87"/>
      <c r="D31" s="41"/>
      <c r="E31" s="41"/>
      <c r="F31" s="88"/>
      <c r="G31" s="88"/>
      <c r="H31" s="88"/>
      <c r="I31" s="88"/>
      <c r="J31" s="88"/>
      <c r="K31" s="88"/>
      <c r="L31" s="88"/>
      <c r="M31" s="88"/>
      <c r="N31" s="89"/>
      <c r="O31" s="90"/>
      <c r="P31" s="90"/>
      <c r="Q31" s="90"/>
      <c r="R31" s="91"/>
    </row>
    <row r="32" spans="1:18" ht="14.25">
      <c r="A32" s="37">
        <v>29</v>
      </c>
      <c r="B32" s="87" t="s">
        <v>109</v>
      </c>
      <c r="C32" s="87"/>
      <c r="D32" s="41"/>
      <c r="E32" s="41"/>
      <c r="F32" s="88"/>
      <c r="G32" s="88"/>
      <c r="H32" s="88"/>
      <c r="I32" s="88"/>
      <c r="J32" s="88"/>
      <c r="K32" s="88"/>
      <c r="L32" s="88"/>
      <c r="M32" s="88"/>
      <c r="N32" s="89"/>
      <c r="O32" s="90"/>
      <c r="P32" s="90"/>
      <c r="Q32" s="90"/>
      <c r="R32" s="91"/>
    </row>
    <row r="33" spans="1:18" ht="14.25">
      <c r="A33" s="37">
        <v>30</v>
      </c>
      <c r="B33" s="67" t="s">
        <v>31</v>
      </c>
      <c r="C33" s="68"/>
      <c r="D33" s="69"/>
      <c r="E33" s="70"/>
      <c r="F33" s="70"/>
      <c r="G33" s="70"/>
      <c r="H33" s="70"/>
      <c r="I33" s="70"/>
      <c r="J33" s="70"/>
      <c r="K33" s="70"/>
      <c r="L33" s="70"/>
      <c r="M33" s="70"/>
      <c r="N33" s="70"/>
      <c r="O33" s="70"/>
      <c r="P33" s="70"/>
      <c r="Q33" s="70"/>
      <c r="R33" s="71"/>
    </row>
    <row r="34" spans="1:18" ht="15" customHeight="1" thickBot="1">
      <c r="A34" s="42">
        <v>31</v>
      </c>
      <c r="B34" s="72" t="s">
        <v>32</v>
      </c>
      <c r="C34" s="73"/>
      <c r="D34" s="74"/>
      <c r="E34" s="74"/>
      <c r="F34" s="74"/>
      <c r="G34" s="74"/>
      <c r="H34" s="74"/>
      <c r="I34" s="74"/>
      <c r="J34" s="74"/>
      <c r="K34" s="74"/>
      <c r="L34" s="74"/>
      <c r="M34" s="74"/>
      <c r="N34" s="74"/>
      <c r="O34" s="74"/>
      <c r="P34" s="74"/>
      <c r="Q34" s="74"/>
      <c r="R34" s="75"/>
    </row>
    <row r="35" spans="1:18" ht="14.25">
      <c r="A35" s="76"/>
      <c r="B35" s="77"/>
      <c r="C35" s="77"/>
      <c r="D35" s="77"/>
      <c r="E35" s="77"/>
      <c r="F35" s="77"/>
      <c r="G35" s="77"/>
      <c r="H35" s="77"/>
      <c r="I35" s="77"/>
      <c r="J35" s="77"/>
      <c r="K35" s="77"/>
      <c r="L35" s="77"/>
      <c r="M35" s="82" t="s">
        <v>79</v>
      </c>
      <c r="N35" s="82"/>
      <c r="O35" s="82"/>
      <c r="P35" s="82"/>
      <c r="Q35" s="82"/>
      <c r="R35" s="83"/>
    </row>
    <row r="36" spans="1:26" ht="14.25">
      <c r="A36" s="78"/>
      <c r="B36" s="79"/>
      <c r="C36" s="79"/>
      <c r="D36" s="79"/>
      <c r="E36" s="79"/>
      <c r="F36" s="79"/>
      <c r="G36" s="79"/>
      <c r="H36" s="79"/>
      <c r="I36" s="79"/>
      <c r="J36" s="79"/>
      <c r="K36" s="79"/>
      <c r="L36" s="79"/>
      <c r="M36" s="84"/>
      <c r="N36" s="85"/>
      <c r="O36" s="85"/>
      <c r="P36" s="85"/>
      <c r="Q36" s="85"/>
      <c r="R36" s="86"/>
      <c r="Z36" s="12" t="e">
        <f>"NPSHA = "&amp;ROUND(AB11*10/N13,1)&amp;" MLC"</f>
        <v>#DIV/0!</v>
      </c>
    </row>
    <row r="37" spans="1:26" ht="14.25">
      <c r="A37" s="78"/>
      <c r="B37" s="79"/>
      <c r="C37" s="79"/>
      <c r="D37" s="79"/>
      <c r="E37" s="79"/>
      <c r="F37" s="79"/>
      <c r="G37" s="79"/>
      <c r="H37" s="79"/>
      <c r="I37" s="79"/>
      <c r="J37" s="79"/>
      <c r="K37" s="79"/>
      <c r="L37" s="79"/>
      <c r="M37" s="58"/>
      <c r="N37" s="59"/>
      <c r="O37" s="59"/>
      <c r="P37" s="59"/>
      <c r="Q37" s="59"/>
      <c r="R37" s="60"/>
      <c r="Z37" s="12" t="e">
        <f>"NPSHR = "&amp;ROUND(AB10*10/N13,1)&amp;" MLC"</f>
        <v>#DIV/0!</v>
      </c>
    </row>
    <row r="38" spans="1:26" ht="14.25">
      <c r="A38" s="78"/>
      <c r="B38" s="79"/>
      <c r="C38" s="79"/>
      <c r="D38" s="79"/>
      <c r="E38" s="79"/>
      <c r="F38" s="79"/>
      <c r="G38" s="79"/>
      <c r="H38" s="79"/>
      <c r="I38" s="79"/>
      <c r="J38" s="79"/>
      <c r="K38" s="79"/>
      <c r="L38" s="79"/>
      <c r="M38" s="58"/>
      <c r="N38" s="59"/>
      <c r="O38" s="59"/>
      <c r="P38" s="59"/>
      <c r="Q38" s="59"/>
      <c r="R38" s="60"/>
      <c r="Z38" s="12" t="e">
        <f>IF(OR(ROUND(AB12,2)&lt;0.1,ROUND(AB16,2)&lt;0.4),"Increase Suction Pipe NB","")</f>
        <v>#DIV/0!</v>
      </c>
    </row>
    <row r="39" spans="1:26" ht="14.25">
      <c r="A39" s="78"/>
      <c r="B39" s="79"/>
      <c r="C39" s="79"/>
      <c r="D39" s="79"/>
      <c r="E39" s="79"/>
      <c r="F39" s="79"/>
      <c r="G39" s="79"/>
      <c r="H39" s="79"/>
      <c r="I39" s="79"/>
      <c r="J39" s="79"/>
      <c r="K39" s="79"/>
      <c r="L39" s="79"/>
      <c r="M39" s="58"/>
      <c r="N39" s="59"/>
      <c r="O39" s="59"/>
      <c r="P39" s="59"/>
      <c r="Q39" s="59"/>
      <c r="R39" s="60"/>
      <c r="Z39" s="12" t="e">
        <f>IF(OR(ROUND(AB12,2)&lt;0.1,ROUND(AB16,2)&lt;0.4),"Increase Suction Static Head","")</f>
        <v>#DIV/0!</v>
      </c>
    </row>
    <row r="40" spans="1:26" ht="14.25">
      <c r="A40" s="78"/>
      <c r="B40" s="79"/>
      <c r="C40" s="79"/>
      <c r="D40" s="79"/>
      <c r="E40" s="79"/>
      <c r="F40" s="79"/>
      <c r="G40" s="79"/>
      <c r="H40" s="79"/>
      <c r="I40" s="79"/>
      <c r="J40" s="79"/>
      <c r="K40" s="79"/>
      <c r="L40" s="79"/>
      <c r="M40" s="58"/>
      <c r="N40" s="59"/>
      <c r="O40" s="59"/>
      <c r="P40" s="59"/>
      <c r="Q40" s="59"/>
      <c r="R40" s="60"/>
      <c r="Z40" s="12" t="e">
        <f>IF(OR(ROUND(AB12,2)&lt;0.1,ROUND(AB16,2)&lt;0.4),"Reduce Suction Pipe Horizontal Length","")</f>
        <v>#DIV/0!</v>
      </c>
    </row>
    <row r="41" spans="1:26" ht="14.25">
      <c r="A41" s="78"/>
      <c r="B41" s="79"/>
      <c r="C41" s="79"/>
      <c r="D41" s="79"/>
      <c r="E41" s="79"/>
      <c r="F41" s="79"/>
      <c r="G41" s="79"/>
      <c r="H41" s="79"/>
      <c r="I41" s="79"/>
      <c r="J41" s="79"/>
      <c r="K41" s="79"/>
      <c r="L41" s="79"/>
      <c r="M41" s="58"/>
      <c r="N41" s="59"/>
      <c r="O41" s="59"/>
      <c r="P41" s="59"/>
      <c r="Q41" s="59"/>
      <c r="R41" s="60"/>
      <c r="Z41" s="12" t="e">
        <f>IF(OR(AND(ROUND(AB12,2)&lt;0.1,L25="NO"),AND(ROUND(AB16,2)&lt;0.4,L25="NO")),"Provide Suction Damper of Minimum "&amp;ROUND(AB20,1)&amp;" Lit","")</f>
        <v>#DIV/0!</v>
      </c>
    </row>
    <row r="42" spans="1:26" ht="14.25">
      <c r="A42" s="78"/>
      <c r="B42" s="79"/>
      <c r="C42" s="79"/>
      <c r="D42" s="79"/>
      <c r="E42" s="79"/>
      <c r="F42" s="79"/>
      <c r="G42" s="79"/>
      <c r="H42" s="79"/>
      <c r="I42" s="79"/>
      <c r="J42" s="79"/>
      <c r="K42" s="79"/>
      <c r="L42" s="79"/>
      <c r="M42" s="64"/>
      <c r="N42" s="65"/>
      <c r="O42" s="65"/>
      <c r="P42" s="65"/>
      <c r="Q42" s="65"/>
      <c r="R42" s="66"/>
      <c r="Z42" s="12" t="e">
        <f>IF(AND(ROUND(AB16,2)&lt;0.4,O23="NO"),"Provide Back Pressure valve @ "&amp;ROUND(IF(ABS(AB13-0.4)&lt;1,1,ABS(AB13-0.4)),1)&amp;" Kg/cm sq","")</f>
        <v>#DIV/0!</v>
      </c>
    </row>
    <row r="43" spans="1:26" ht="14.25">
      <c r="A43" s="78"/>
      <c r="B43" s="79"/>
      <c r="C43" s="79"/>
      <c r="D43" s="79"/>
      <c r="E43" s="79"/>
      <c r="F43" s="79"/>
      <c r="G43" s="79"/>
      <c r="H43" s="79"/>
      <c r="I43" s="79"/>
      <c r="J43" s="79"/>
      <c r="K43" s="79"/>
      <c r="L43" s="79"/>
      <c r="M43" s="58"/>
      <c r="N43" s="59"/>
      <c r="O43" s="59"/>
      <c r="P43" s="59"/>
      <c r="Q43" s="59"/>
      <c r="R43" s="60"/>
      <c r="Z43" s="12" t="e">
        <f>IF(OR(ROUND(AB16,2)&lt;0.4,AND(J6&lt;ROUND(AB23,1),ROUND(AB9/AB23,2)&gt;0.2)),"Increse Discharge Pipe NB","")</f>
        <v>#DIV/0!</v>
      </c>
    </row>
    <row r="44" spans="1:26" ht="14.25">
      <c r="A44" s="78"/>
      <c r="B44" s="79"/>
      <c r="C44" s="79"/>
      <c r="D44" s="79"/>
      <c r="E44" s="79"/>
      <c r="F44" s="79"/>
      <c r="G44" s="79"/>
      <c r="H44" s="79"/>
      <c r="I44" s="79"/>
      <c r="J44" s="79"/>
      <c r="K44" s="79"/>
      <c r="L44" s="79"/>
      <c r="M44" s="58"/>
      <c r="N44" s="59"/>
      <c r="O44" s="59"/>
      <c r="P44" s="59"/>
      <c r="Q44" s="59"/>
      <c r="R44" s="60"/>
      <c r="Z44" s="12" t="e">
        <f>IF(OR(ROUND(AB16,2)&lt;0.4,AND(J6&lt;ROUND(AB23,1),ROUND(AB9/AB23,2)&gt;0.2)),"Reduce Discharge Pipe Horizontal Lenght","")</f>
        <v>#DIV/0!</v>
      </c>
    </row>
    <row r="45" spans="1:26" ht="14.25">
      <c r="A45" s="78"/>
      <c r="B45" s="79"/>
      <c r="C45" s="79"/>
      <c r="D45" s="79"/>
      <c r="E45" s="79"/>
      <c r="F45" s="79"/>
      <c r="G45" s="79"/>
      <c r="H45" s="79"/>
      <c r="I45" s="79"/>
      <c r="J45" s="79"/>
      <c r="K45" s="79"/>
      <c r="L45" s="79"/>
      <c r="M45" s="58"/>
      <c r="N45" s="59"/>
      <c r="O45" s="59"/>
      <c r="P45" s="59"/>
      <c r="Q45" s="59"/>
      <c r="R45" s="60"/>
      <c r="Z45" s="12" t="e">
        <f>IF(OR(AND(ROUND(AB16,2)&lt;0.4,O25="NO"),AND(J6&lt;ROUND(AB23,1),O25="NO",ROUND(AB9/AB23,2)&gt;0.2)),"Provide Discharge Damper of "&amp;ROUND(AB22,1)&amp;" Lit","")</f>
        <v>#DIV/0!</v>
      </c>
    </row>
    <row r="46" spans="1:26" ht="14.25">
      <c r="A46" s="78"/>
      <c r="B46" s="79"/>
      <c r="C46" s="79"/>
      <c r="D46" s="79"/>
      <c r="E46" s="79"/>
      <c r="F46" s="79"/>
      <c r="G46" s="79"/>
      <c r="H46" s="79"/>
      <c r="I46" s="79"/>
      <c r="J46" s="79"/>
      <c r="K46" s="79"/>
      <c r="L46" s="79"/>
      <c r="M46" s="58"/>
      <c r="N46" s="59"/>
      <c r="O46" s="59"/>
      <c r="P46" s="59"/>
      <c r="Q46" s="59"/>
      <c r="R46" s="60"/>
      <c r="U46" s="1"/>
      <c r="Z46" s="12" t="e">
        <f>IF(AND(L25="YES",N25&lt;AB20*0.95),"Increase Suction Damper Volume to "&amp;ROUND(AB20,1)&amp;" Lit","")</f>
        <v>#DIV/0!</v>
      </c>
    </row>
    <row r="47" spans="1:26" ht="14.25">
      <c r="A47" s="78"/>
      <c r="B47" s="79"/>
      <c r="C47" s="79"/>
      <c r="D47" s="79"/>
      <c r="E47" s="79"/>
      <c r="F47" s="79"/>
      <c r="G47" s="79"/>
      <c r="H47" s="79"/>
      <c r="I47" s="79"/>
      <c r="J47" s="79"/>
      <c r="K47" s="79"/>
      <c r="L47" s="79"/>
      <c r="M47" s="58"/>
      <c r="N47" s="59"/>
      <c r="O47" s="59"/>
      <c r="P47" s="59"/>
      <c r="Q47" s="59"/>
      <c r="R47" s="60"/>
      <c r="Z47" s="12" t="e">
        <f>IF(AND(O25="YES",Q25&lt;AB22*0.95),"Increase Discharge Damper Volume to "&amp;ROUND(AB22,1)&amp;" Lit","")</f>
        <v>#DIV/0!</v>
      </c>
    </row>
    <row r="48" spans="1:26" ht="14.25">
      <c r="A48" s="78"/>
      <c r="B48" s="79"/>
      <c r="C48" s="79"/>
      <c r="D48" s="79"/>
      <c r="E48" s="79"/>
      <c r="F48" s="79"/>
      <c r="G48" s="79"/>
      <c r="H48" s="79"/>
      <c r="I48" s="79"/>
      <c r="J48" s="79"/>
      <c r="K48" s="79"/>
      <c r="L48" s="79"/>
      <c r="M48" s="58"/>
      <c r="N48" s="59"/>
      <c r="O48" s="59"/>
      <c r="P48" s="59"/>
      <c r="Q48" s="59"/>
      <c r="R48" s="60"/>
      <c r="Z48" s="12" t="e">
        <f>IF(AND(O23="YES",Q23&lt;ROUND(AB14,1)),"Increase BPV Setting to "&amp;ROUND(AB14,1)&amp;" Kg/Cm Sq",IF(AND(O23="YES",AB14=0),"BPV is not required",IF(AND(O23="YES",Q23&gt;ROUND(AB14*1.05,1)),"Reduce BPV Setting to "&amp;ROUND(AB14,1)&amp;" Kg/Cm Sq","")))</f>
        <v>#DIV/0!</v>
      </c>
    </row>
    <row r="49" spans="1:26" ht="14.25">
      <c r="A49" s="78"/>
      <c r="B49" s="79"/>
      <c r="C49" s="79"/>
      <c r="D49" s="79"/>
      <c r="E49" s="79"/>
      <c r="F49" s="79"/>
      <c r="G49" s="79"/>
      <c r="H49" s="79"/>
      <c r="I49" s="79"/>
      <c r="J49" s="79"/>
      <c r="K49" s="79"/>
      <c r="L49" s="79"/>
      <c r="M49" s="58"/>
      <c r="N49" s="59"/>
      <c r="O49" s="59"/>
      <c r="P49" s="59"/>
      <c r="Q49" s="59"/>
      <c r="R49" s="60"/>
      <c r="Z49" s="12" t="e">
        <f>IF(J6&lt;ROUND(AB23,1),"Required Min Pump Disch Pr ="&amp;ROUND(AB23,1)&amp;" Kg/cm sq","")</f>
        <v>#DIV/0!</v>
      </c>
    </row>
    <row r="50" spans="1:26" ht="14.25">
      <c r="A50" s="78"/>
      <c r="B50" s="79"/>
      <c r="C50" s="79"/>
      <c r="D50" s="79"/>
      <c r="E50" s="79"/>
      <c r="F50" s="79"/>
      <c r="G50" s="79"/>
      <c r="H50" s="79"/>
      <c r="I50" s="79"/>
      <c r="J50" s="79"/>
      <c r="K50" s="79"/>
      <c r="L50" s="79"/>
      <c r="M50" s="58"/>
      <c r="N50" s="59"/>
      <c r="O50" s="59"/>
      <c r="P50" s="59"/>
      <c r="Q50" s="59"/>
      <c r="R50" s="60"/>
      <c r="Z50" s="12" t="e">
        <f>IF(O24&lt;ROUND(IF(AB23&lt;10,AB23+1,AB23*1.1),1),"Required Min SRV Set Pr = "&amp;ROUND(IF(AB23&lt;10,AB23+1,AB23*1.1),1)&amp;" Kg/cm sq","")</f>
        <v>#DIV/0!</v>
      </c>
    </row>
    <row r="51" spans="1:26" ht="14.25">
      <c r="A51" s="78"/>
      <c r="B51" s="79"/>
      <c r="C51" s="79"/>
      <c r="D51" s="79"/>
      <c r="E51" s="79"/>
      <c r="F51" s="79"/>
      <c r="G51" s="79"/>
      <c r="H51" s="79"/>
      <c r="I51" s="79"/>
      <c r="J51" s="79"/>
      <c r="K51" s="79"/>
      <c r="L51" s="79"/>
      <c r="M51" s="58"/>
      <c r="N51" s="59"/>
      <c r="O51" s="59"/>
      <c r="P51" s="59"/>
      <c r="Q51" s="59"/>
      <c r="R51" s="60"/>
      <c r="Z51" s="12">
        <f>IF(L22="NO","Suction Strainer is Mandatory","")</f>
      </c>
    </row>
    <row r="52" spans="1:18" ht="14.25">
      <c r="A52" s="78"/>
      <c r="B52" s="79"/>
      <c r="C52" s="79"/>
      <c r="D52" s="79"/>
      <c r="E52" s="79"/>
      <c r="F52" s="79"/>
      <c r="G52" s="79"/>
      <c r="H52" s="79"/>
      <c r="I52" s="79"/>
      <c r="J52" s="79"/>
      <c r="K52" s="79"/>
      <c r="L52" s="79"/>
      <c r="M52" s="58"/>
      <c r="N52" s="59"/>
      <c r="O52" s="59"/>
      <c r="P52" s="59"/>
      <c r="Q52" s="59"/>
      <c r="R52" s="60"/>
    </row>
    <row r="53" spans="1:18" ht="14.25">
      <c r="A53" s="78"/>
      <c r="B53" s="79"/>
      <c r="C53" s="79"/>
      <c r="D53" s="79"/>
      <c r="E53" s="79"/>
      <c r="F53" s="79"/>
      <c r="G53" s="79"/>
      <c r="H53" s="79"/>
      <c r="I53" s="79"/>
      <c r="J53" s="79"/>
      <c r="K53" s="79"/>
      <c r="L53" s="79"/>
      <c r="M53" s="58"/>
      <c r="N53" s="59"/>
      <c r="O53" s="59"/>
      <c r="P53" s="59"/>
      <c r="Q53" s="59"/>
      <c r="R53" s="60"/>
    </row>
    <row r="54" spans="1:18" ht="14.25">
      <c r="A54" s="78"/>
      <c r="B54" s="79"/>
      <c r="C54" s="79"/>
      <c r="D54" s="79"/>
      <c r="E54" s="79"/>
      <c r="F54" s="79"/>
      <c r="G54" s="79"/>
      <c r="H54" s="79"/>
      <c r="I54" s="79"/>
      <c r="J54" s="79"/>
      <c r="K54" s="79"/>
      <c r="L54" s="79"/>
      <c r="M54" s="58"/>
      <c r="N54" s="59"/>
      <c r="O54" s="59"/>
      <c r="P54" s="59"/>
      <c r="Q54" s="59"/>
      <c r="R54" s="60"/>
    </row>
    <row r="55" spans="1:18" ht="14.25">
      <c r="A55" s="78"/>
      <c r="B55" s="79"/>
      <c r="C55" s="79"/>
      <c r="D55" s="79"/>
      <c r="E55" s="79"/>
      <c r="F55" s="79"/>
      <c r="G55" s="79"/>
      <c r="H55" s="79"/>
      <c r="I55" s="79"/>
      <c r="J55" s="79"/>
      <c r="K55" s="79"/>
      <c r="L55" s="79"/>
      <c r="M55" s="58"/>
      <c r="N55" s="59"/>
      <c r="O55" s="59"/>
      <c r="P55" s="59"/>
      <c r="Q55" s="59"/>
      <c r="R55" s="60"/>
    </row>
    <row r="56" spans="1:26" ht="14.25">
      <c r="A56" s="78"/>
      <c r="B56" s="79"/>
      <c r="C56" s="79"/>
      <c r="D56" s="79"/>
      <c r="E56" s="79"/>
      <c r="F56" s="79"/>
      <c r="G56" s="79"/>
      <c r="H56" s="79"/>
      <c r="I56" s="79"/>
      <c r="J56" s="79"/>
      <c r="K56" s="79"/>
      <c r="L56" s="79"/>
      <c r="M56" s="58"/>
      <c r="N56" s="59"/>
      <c r="O56" s="59"/>
      <c r="P56" s="59"/>
      <c r="Q56" s="59"/>
      <c r="R56" s="60"/>
      <c r="Z56" s="12" t="e">
        <f>IF(AND(Z38="",Z39="",Z40="",Z41="",Z42="",Z43="",Z44="",Z45="",Z46="",Z47="",Z48="",Z49="",Z50="",Z51="",Z52="",Z53="",Z54="",Z55=""),"Acceptable Installation","")</f>
        <v>#DIV/0!</v>
      </c>
    </row>
    <row r="57" spans="1:18" ht="15" thickBot="1">
      <c r="A57" s="80"/>
      <c r="B57" s="81"/>
      <c r="C57" s="81"/>
      <c r="D57" s="81"/>
      <c r="E57" s="81"/>
      <c r="F57" s="81"/>
      <c r="G57" s="81"/>
      <c r="H57" s="81"/>
      <c r="I57" s="81"/>
      <c r="J57" s="81"/>
      <c r="K57" s="81"/>
      <c r="L57" s="81"/>
      <c r="M57" s="61"/>
      <c r="N57" s="62"/>
      <c r="O57" s="62"/>
      <c r="P57" s="62"/>
      <c r="Q57" s="62"/>
      <c r="R57" s="63"/>
    </row>
    <row r="58" spans="1:18" ht="14.25">
      <c r="A58" s="45" t="s">
        <v>33</v>
      </c>
      <c r="B58" s="46"/>
      <c r="C58" s="46"/>
      <c r="D58" s="46"/>
      <c r="E58" s="46"/>
      <c r="F58" s="46"/>
      <c r="G58" s="46"/>
      <c r="H58" s="46"/>
      <c r="I58" s="46"/>
      <c r="J58" s="46"/>
      <c r="K58" s="46"/>
      <c r="L58" s="46"/>
      <c r="M58" s="46"/>
      <c r="N58" s="46"/>
      <c r="O58" s="46"/>
      <c r="P58" s="46"/>
      <c r="Q58" s="46"/>
      <c r="R58" s="47"/>
    </row>
    <row r="59" spans="1:18" ht="15" customHeight="1">
      <c r="A59" s="48" t="s">
        <v>44</v>
      </c>
      <c r="B59" s="49"/>
      <c r="C59" s="49"/>
      <c r="D59" s="49"/>
      <c r="E59" s="49"/>
      <c r="F59" s="49"/>
      <c r="G59" s="49"/>
      <c r="H59" s="49"/>
      <c r="I59" s="49"/>
      <c r="J59" s="49"/>
      <c r="K59" s="49"/>
      <c r="L59" s="49"/>
      <c r="M59" s="49"/>
      <c r="N59" s="49"/>
      <c r="O59" s="49"/>
      <c r="P59" s="49"/>
      <c r="Q59" s="49"/>
      <c r="R59" s="50"/>
    </row>
    <row r="60" spans="1:18" ht="15" customHeight="1">
      <c r="A60" s="48" t="s">
        <v>45</v>
      </c>
      <c r="B60" s="49"/>
      <c r="C60" s="49"/>
      <c r="D60" s="49"/>
      <c r="E60" s="49"/>
      <c r="F60" s="49"/>
      <c r="G60" s="49"/>
      <c r="H60" s="49"/>
      <c r="I60" s="49"/>
      <c r="J60" s="49"/>
      <c r="K60" s="49"/>
      <c r="L60" s="49"/>
      <c r="M60" s="49"/>
      <c r="N60" s="49"/>
      <c r="O60" s="49"/>
      <c r="P60" s="49"/>
      <c r="Q60" s="49"/>
      <c r="R60" s="50"/>
    </row>
    <row r="61" spans="1:18" ht="15" customHeight="1">
      <c r="A61" s="48" t="s">
        <v>46</v>
      </c>
      <c r="B61" s="49"/>
      <c r="C61" s="49"/>
      <c r="D61" s="49"/>
      <c r="E61" s="49"/>
      <c r="F61" s="49"/>
      <c r="G61" s="49"/>
      <c r="H61" s="49"/>
      <c r="I61" s="49"/>
      <c r="J61" s="49"/>
      <c r="K61" s="49"/>
      <c r="L61" s="49"/>
      <c r="M61" s="49"/>
      <c r="N61" s="49"/>
      <c r="O61" s="49"/>
      <c r="P61" s="49"/>
      <c r="Q61" s="49"/>
      <c r="R61" s="50"/>
    </row>
    <row r="62" spans="1:18" ht="25.5" customHeight="1" thickBot="1">
      <c r="A62" s="51" t="s">
        <v>50</v>
      </c>
      <c r="B62" s="52"/>
      <c r="C62" s="52"/>
      <c r="D62" s="52"/>
      <c r="E62" s="52"/>
      <c r="F62" s="52"/>
      <c r="G62" s="52"/>
      <c r="H62" s="52"/>
      <c r="I62" s="53"/>
      <c r="J62" s="53"/>
      <c r="K62" s="53"/>
      <c r="L62" s="53"/>
      <c r="M62" s="53"/>
      <c r="N62" s="53"/>
      <c r="O62" s="53"/>
      <c r="P62" s="53"/>
      <c r="Q62" s="53"/>
      <c r="R62" s="54"/>
    </row>
    <row r="63" spans="2:8" ht="15">
      <c r="B63" s="55" t="s">
        <v>90</v>
      </c>
      <c r="C63" s="56"/>
      <c r="D63" s="56"/>
      <c r="E63" s="56"/>
      <c r="F63" s="56"/>
      <c r="G63" s="56"/>
      <c r="H63" s="57"/>
    </row>
    <row r="64" spans="2:8" ht="14.25">
      <c r="B64" s="4"/>
      <c r="C64" s="43" t="s">
        <v>85</v>
      </c>
      <c r="D64" s="43"/>
      <c r="E64" s="43"/>
      <c r="F64" s="2" t="s">
        <v>96</v>
      </c>
      <c r="G64" s="3"/>
      <c r="H64" s="5"/>
    </row>
    <row r="65" spans="2:8" ht="14.25">
      <c r="B65" s="4"/>
      <c r="C65" s="43" t="s">
        <v>86</v>
      </c>
      <c r="D65" s="43"/>
      <c r="E65" s="43"/>
      <c r="F65" s="2"/>
      <c r="G65" s="3"/>
      <c r="H65" s="5"/>
    </row>
    <row r="66" spans="2:8" ht="14.25">
      <c r="B66" s="4"/>
      <c r="C66" s="43" t="s">
        <v>87</v>
      </c>
      <c r="D66" s="43"/>
      <c r="E66" s="43"/>
      <c r="F66" s="2"/>
      <c r="G66" s="3"/>
      <c r="H66" s="5"/>
    </row>
    <row r="67" spans="2:8" ht="14.25">
      <c r="B67" s="4"/>
      <c r="C67" s="43" t="s">
        <v>88</v>
      </c>
      <c r="D67" s="43"/>
      <c r="E67" s="43"/>
      <c r="F67" s="2"/>
      <c r="G67" s="3"/>
      <c r="H67" s="5"/>
    </row>
    <row r="68" spans="2:8" ht="14.25">
      <c r="B68" s="4"/>
      <c r="C68" s="43" t="s">
        <v>89</v>
      </c>
      <c r="D68" s="43"/>
      <c r="E68" s="43"/>
      <c r="F68" s="2"/>
      <c r="G68" s="3"/>
      <c r="H68" s="5"/>
    </row>
    <row r="69" spans="2:8" ht="15" thickBot="1">
      <c r="B69" s="6"/>
      <c r="C69" s="44" t="s">
        <v>91</v>
      </c>
      <c r="D69" s="44"/>
      <c r="E69" s="44"/>
      <c r="F69" s="7" t="str">
        <f>IF(AND(F64="Yes",F67&gt;0,F68&gt;0),"Yes","No")</f>
        <v>No</v>
      </c>
      <c r="G69" s="8"/>
      <c r="H69" s="9"/>
    </row>
  </sheetData>
  <sheetProtection password="C699" sheet="1" objects="1" scenarios="1" selectLockedCells="1"/>
  <mergeCells count="164">
    <mergeCell ref="C64:E64"/>
    <mergeCell ref="C65:E65"/>
    <mergeCell ref="C66:E66"/>
    <mergeCell ref="C67:E67"/>
    <mergeCell ref="C68:E68"/>
    <mergeCell ref="C69:E69"/>
    <mergeCell ref="A58:R58"/>
    <mergeCell ref="A59:R59"/>
    <mergeCell ref="A60:R60"/>
    <mergeCell ref="A61:R61"/>
    <mergeCell ref="A62:R62"/>
    <mergeCell ref="B63:H63"/>
    <mergeCell ref="M52:R52"/>
    <mergeCell ref="M53:R53"/>
    <mergeCell ref="M54:R54"/>
    <mergeCell ref="M55:R55"/>
    <mergeCell ref="M56:R56"/>
    <mergeCell ref="M57:R57"/>
    <mergeCell ref="M46:R46"/>
    <mergeCell ref="M47:R47"/>
    <mergeCell ref="M48:R48"/>
    <mergeCell ref="M49:R49"/>
    <mergeCell ref="M50:R50"/>
    <mergeCell ref="M51:R51"/>
    <mergeCell ref="M40:R40"/>
    <mergeCell ref="M41:R41"/>
    <mergeCell ref="M42:R42"/>
    <mergeCell ref="M43:R43"/>
    <mergeCell ref="M44:R44"/>
    <mergeCell ref="M45:R45"/>
    <mergeCell ref="B33:C33"/>
    <mergeCell ref="D33:R33"/>
    <mergeCell ref="B34:C34"/>
    <mergeCell ref="D34:R34"/>
    <mergeCell ref="A35:L57"/>
    <mergeCell ref="M35:R35"/>
    <mergeCell ref="M36:R36"/>
    <mergeCell ref="M37:R37"/>
    <mergeCell ref="M38:R38"/>
    <mergeCell ref="M39:R39"/>
    <mergeCell ref="B31:C31"/>
    <mergeCell ref="F31:H31"/>
    <mergeCell ref="I31:K31"/>
    <mergeCell ref="L31:M31"/>
    <mergeCell ref="N31:R31"/>
    <mergeCell ref="B32:C32"/>
    <mergeCell ref="F32:H32"/>
    <mergeCell ref="I32:K32"/>
    <mergeCell ref="L32:M32"/>
    <mergeCell ref="N32:R32"/>
    <mergeCell ref="B29:C29"/>
    <mergeCell ref="F29:H29"/>
    <mergeCell ref="I29:K29"/>
    <mergeCell ref="L29:M29"/>
    <mergeCell ref="N29:R29"/>
    <mergeCell ref="B30:C30"/>
    <mergeCell ref="F30:H30"/>
    <mergeCell ref="I30:K30"/>
    <mergeCell ref="L30:M30"/>
    <mergeCell ref="N30:R30"/>
    <mergeCell ref="B27:C27"/>
    <mergeCell ref="F27:H27"/>
    <mergeCell ref="I27:K27"/>
    <mergeCell ref="L27:M27"/>
    <mergeCell ref="N27:R27"/>
    <mergeCell ref="B28:C28"/>
    <mergeCell ref="F28:H28"/>
    <mergeCell ref="I28:K28"/>
    <mergeCell ref="L28:M28"/>
    <mergeCell ref="N28:R28"/>
    <mergeCell ref="B25:F25"/>
    <mergeCell ref="H25:K25"/>
    <mergeCell ref="L25:M25"/>
    <mergeCell ref="O25:P25"/>
    <mergeCell ref="Q25:R25"/>
    <mergeCell ref="B26:C26"/>
    <mergeCell ref="D26:H26"/>
    <mergeCell ref="I26:R26"/>
    <mergeCell ref="B23:K23"/>
    <mergeCell ref="L23:N23"/>
    <mergeCell ref="O23:P23"/>
    <mergeCell ref="Q23:R23"/>
    <mergeCell ref="B24:K24"/>
    <mergeCell ref="L24:N24"/>
    <mergeCell ref="O24:R24"/>
    <mergeCell ref="B21:K21"/>
    <mergeCell ref="L21:N21"/>
    <mergeCell ref="O21:R21"/>
    <mergeCell ref="B22:K22"/>
    <mergeCell ref="L22:N22"/>
    <mergeCell ref="O22:R22"/>
    <mergeCell ref="B19:K19"/>
    <mergeCell ref="L19:N19"/>
    <mergeCell ref="O19:R19"/>
    <mergeCell ref="B20:K20"/>
    <mergeCell ref="M20:N20"/>
    <mergeCell ref="P20:R20"/>
    <mergeCell ref="A16:R16"/>
    <mergeCell ref="A17:K17"/>
    <mergeCell ref="L17:N17"/>
    <mergeCell ref="O17:R17"/>
    <mergeCell ref="B18:K18"/>
    <mergeCell ref="L18:N18"/>
    <mergeCell ref="O18:R18"/>
    <mergeCell ref="B14:E14"/>
    <mergeCell ref="F14:I14"/>
    <mergeCell ref="K14:M14"/>
    <mergeCell ref="N14:R14"/>
    <mergeCell ref="B15:E15"/>
    <mergeCell ref="F15:G15"/>
    <mergeCell ref="H15:I15"/>
    <mergeCell ref="K15:M15"/>
    <mergeCell ref="N15:R15"/>
    <mergeCell ref="B12:E12"/>
    <mergeCell ref="F12:I12"/>
    <mergeCell ref="K12:M12"/>
    <mergeCell ref="N12:R12"/>
    <mergeCell ref="B13:E13"/>
    <mergeCell ref="F13:I13"/>
    <mergeCell ref="K13:M13"/>
    <mergeCell ref="N13:R13"/>
    <mergeCell ref="A9:R9"/>
    <mergeCell ref="A10:R10"/>
    <mergeCell ref="B11:E11"/>
    <mergeCell ref="F11:I11"/>
    <mergeCell ref="K11:M11"/>
    <mergeCell ref="N11:R11"/>
    <mergeCell ref="B8:C8"/>
    <mergeCell ref="D8:F8"/>
    <mergeCell ref="H8:I8"/>
    <mergeCell ref="J8:M8"/>
    <mergeCell ref="N8:O8"/>
    <mergeCell ref="P8:Q8"/>
    <mergeCell ref="B7:C7"/>
    <mergeCell ref="D7:F7"/>
    <mergeCell ref="H7:I7"/>
    <mergeCell ref="J7:M7"/>
    <mergeCell ref="N7:O7"/>
    <mergeCell ref="P7:Q7"/>
    <mergeCell ref="B6:C6"/>
    <mergeCell ref="D6:F6"/>
    <mergeCell ref="H6:I6"/>
    <mergeCell ref="J6:M6"/>
    <mergeCell ref="N6:O6"/>
    <mergeCell ref="P6:Q6"/>
    <mergeCell ref="A4:C4"/>
    <mergeCell ref="D4:R4"/>
    <mergeCell ref="Z4:AB4"/>
    <mergeCell ref="AC4:AD4"/>
    <mergeCell ref="B5:C5"/>
    <mergeCell ref="D5:F5"/>
    <mergeCell ref="H5:I5"/>
    <mergeCell ref="J5:O5"/>
    <mergeCell ref="P5:Q5"/>
    <mergeCell ref="A1:C3"/>
    <mergeCell ref="D1:I1"/>
    <mergeCell ref="J1:N1"/>
    <mergeCell ref="O1:R1"/>
    <mergeCell ref="D2:I2"/>
    <mergeCell ref="J2:N2"/>
    <mergeCell ref="O2:R2"/>
    <mergeCell ref="D3:I3"/>
    <mergeCell ref="J3:N3"/>
    <mergeCell ref="O3:R3"/>
  </mergeCells>
  <conditionalFormatting sqref="AB12">
    <cfRule type="cellIs" priority="4" dxfId="96" operator="lessThan">
      <formula>0.1</formula>
    </cfRule>
  </conditionalFormatting>
  <conditionalFormatting sqref="AB16">
    <cfRule type="cellIs" priority="3" dxfId="96" operator="lessThan">
      <formula>0.4</formula>
    </cfRule>
  </conditionalFormatting>
  <conditionalFormatting sqref="AB23">
    <cfRule type="cellIs" priority="2" dxfId="96" operator="greaterThan">
      <formula>$J$6</formula>
    </cfRule>
  </conditionalFormatting>
  <conditionalFormatting sqref="F12">
    <cfRule type="cellIs" priority="1" dxfId="96" operator="greaterThan">
      <formula>90</formula>
    </cfRule>
  </conditionalFormatting>
  <conditionalFormatting sqref="A15:E15 J15:M15">
    <cfRule type="expression" priority="5" dxfId="97" stopIfTrue="1">
      <formula>$N$14="NO"</formula>
    </cfRule>
  </conditionalFormatting>
  <conditionalFormatting sqref="F13:I13 N11:R11">
    <cfRule type="cellIs" priority="6" dxfId="98" operator="greaterThan" stopIfTrue="1">
      <formula>200</formula>
    </cfRule>
  </conditionalFormatting>
  <conditionalFormatting sqref="N13:R13">
    <cfRule type="cellIs" priority="7" dxfId="98" operator="greaterThan" stopIfTrue="1">
      <formula>2</formula>
    </cfRule>
  </conditionalFormatting>
  <conditionalFormatting sqref="N14:R14">
    <cfRule type="cellIs" priority="8" dxfId="98" operator="equal" stopIfTrue="1">
      <formula>"YES"</formula>
    </cfRule>
  </conditionalFormatting>
  <conditionalFormatting sqref="H15:I15">
    <cfRule type="expression" priority="9" dxfId="97" stopIfTrue="1">
      <formula>$N$14="NO"</formula>
    </cfRule>
    <cfRule type="cellIs" priority="10" dxfId="98" operator="greaterThan" stopIfTrue="1">
      <formula>5</formula>
    </cfRule>
  </conditionalFormatting>
  <conditionalFormatting sqref="F15:G15">
    <cfRule type="expression" priority="11" dxfId="97" stopIfTrue="1">
      <formula>$N$14="NO"</formula>
    </cfRule>
    <cfRule type="cellIs" priority="12" dxfId="98" operator="greaterThan" stopIfTrue="1">
      <formula>50</formula>
    </cfRule>
  </conditionalFormatting>
  <conditionalFormatting sqref="N15:R15">
    <cfRule type="expression" priority="13" dxfId="97" stopIfTrue="1">
      <formula>$N$14="NO"</formula>
    </cfRule>
    <cfRule type="cellIs" priority="14" dxfId="98" operator="equal" stopIfTrue="1">
      <formula>"YES"</formula>
    </cfRule>
  </conditionalFormatting>
  <conditionalFormatting sqref="L18:R18">
    <cfRule type="cellIs" priority="15" dxfId="98" operator="lessThan" stopIfTrue="1">
      <formula>1</formula>
    </cfRule>
  </conditionalFormatting>
  <conditionalFormatting sqref="L20 O20">
    <cfRule type="cellIs" priority="16" dxfId="98" operator="equal" stopIfTrue="1">
      <formula>"-"</formula>
    </cfRule>
  </conditionalFormatting>
  <dataValidations count="25">
    <dataValidation type="decimal" showErrorMessage="1" errorTitle="SHAPOTOOLS" error="ENTER VALUE GREATER THAN SUCTION STATIC HEAD BELOW AND LESS THAN 50" sqref="L19">
      <formula1>M20</formula1>
      <formula2>50</formula2>
    </dataValidation>
    <dataValidation type="decimal" showErrorMessage="1" errorTitle="SHAPOTOOLS" error="ENTER VALUE GREATER THAN DISCHARGE STATIC HEAD BELOW &amp; LESS THAN 10000" sqref="O19">
      <formula1>P20</formula1>
      <formula2>10000</formula2>
    </dataValidation>
    <dataValidation type="decimal" showErrorMessage="1" errorTitle="SHAPOTOOLS" error="ENTER VALUE HIGHER THAN 0 AND LESS THAN TOTAL SUCTION  PIPE LENGTH ABOVE" sqref="M20">
      <formula1>0</formula1>
      <formula2>L19</formula2>
    </dataValidation>
    <dataValidation type="decimal" showErrorMessage="1" errorTitle="SHAPOTOOLS" error="ENTER VALUE HIGHER THAN 0 AND LESS THAN TOTAL DISCHARGE PIPE LENGTH ABOVE" sqref="P20">
      <formula1>0</formula1>
      <formula2>O19</formula2>
    </dataValidation>
    <dataValidation type="list" allowBlank="1" showErrorMessage="1" errorTitle="SHAPOTOOLS" error="ENTER YES OR NO" sqref="N15:R15 L25:M25 O25">
      <formula1>"YES,NO"</formula1>
    </dataValidation>
    <dataValidation type="list" showErrorMessage="1" errorTitle="SHAPOTOOLS" error="ENTER POSITIVE OR NEGATIVE" sqref="L20 O20">
      <formula1>"+,-"</formula1>
    </dataValidation>
    <dataValidation type="list" showErrorMessage="1" errorTitle="SHAPOTOOLS" error="ENTER YES OR NO" sqref="O23 L22 N14">
      <formula1>"YES,NO"</formula1>
    </dataValidation>
    <dataValidation type="list" showErrorMessage="1" errorTitle="SHAPOTOOLS" error="PLEASE SELECT PIPE NB" sqref="L21 O21">
      <formula1>"15,20,25,40,50,65,80,100,125,150"</formula1>
    </dataValidation>
    <dataValidation type="decimal" showErrorMessage="1" errorTitle="SHAPOTOOLS" error="ENTER VALUE BETWEEN 0 TO 5000" sqref="F13:I13">
      <formula1>0</formula1>
      <formula2>5000</formula2>
    </dataValidation>
    <dataValidation type="decimal" operator="greaterThanOrEqual" showErrorMessage="1" errorTitle="SHAPOTOOLS" error="ENTER VALUE BETWEEN 0 TO 5000" sqref="F15:G15">
      <formula1>0</formula1>
    </dataValidation>
    <dataValidation type="decimal" showErrorMessage="1" errorTitle="SHAPOTOOLS" error="ENTER VALUE BETWEEN 0 TO 100" sqref="H15:I15">
      <formula1>0</formula1>
      <formula2>100</formula2>
    </dataValidation>
    <dataValidation type="decimal" showErrorMessage="1" errorTitle="SHAPOTOOLS" error="ENTER VALUE BETWEEN 0 TO 1000000" sqref="N11:R11">
      <formula1>0</formula1>
      <formula2>100000</formula2>
    </dataValidation>
    <dataValidation type="decimal" showErrorMessage="1" errorTitle="SHAPOTOOLS" error="ENTER VALUE BETWEEN -50 TO +500" sqref="N12:R12 F12">
      <formula1>-50</formula1>
      <formula2>500</formula2>
    </dataValidation>
    <dataValidation type="decimal" showErrorMessage="1" errorTitle="SHAPOTOOLS" error="ENTER VALUE BETWEEN 0.2 TO 23" sqref="N13">
      <formula1>0.2</formula1>
      <formula2>23</formula2>
    </dataValidation>
    <dataValidation type="decimal" showErrorMessage="1" errorTitle="SHAPOTOOLS" error="ENTER VALUE BETWEEN 0 TO 500" sqref="L18:R18">
      <formula1>0</formula1>
      <formula2>500</formula2>
    </dataValidation>
    <dataValidation type="list" allowBlank="1" showInputMessage="1" errorTitle="SHAPOTOOLS" error="ENTER VALUE BETWEEN 0.1 TO 100" sqref="N25">
      <formula1>$AB$20:$AC$20</formula1>
    </dataValidation>
    <dataValidation type="decimal" showErrorMessage="1" errorTitle="SHAPOTOOLS" error="ENTER VALUE BETWEEN 0.1 TO 20000" sqref="D6">
      <formula1>0.1</formula1>
      <formula2>20000</formula2>
    </dataValidation>
    <dataValidation type="decimal" showErrorMessage="1" errorTitle="SHAPOTOOLS" error="ENTER VALUE BETWEEN 20 TO 300" sqref="D8">
      <formula1>20</formula1>
      <formula2>300</formula2>
    </dataValidation>
    <dataValidation type="decimal" allowBlank="1" showErrorMessage="1" errorTitle="SHAPOTOOLS" error="ENTER VALUE BETWEEN 0 TO 50" sqref="D33:R33">
      <formula1>0</formula1>
      <formula2>50</formula2>
    </dataValidation>
    <dataValidation type="whole" showInputMessage="1" showErrorMessage="1" sqref="U26">
      <formula1>0</formula1>
      <formula2>10</formula2>
    </dataValidation>
    <dataValidation type="decimal" showErrorMessage="1" errorTitle="SHAPOTOOLS" error="ENTER VALUE BETWEEN -1 TO 500" sqref="J6">
      <formula1>-1</formula1>
      <formula2>500</formula2>
    </dataValidation>
    <dataValidation type="list" allowBlank="1" showErrorMessage="1" errorTitle="SHAPOTOOLS" error="ENTERVALUE BETWEEN 1 AND 50" sqref="Q23:R23">
      <formula1>$AC$14:$AD$14</formula1>
    </dataValidation>
    <dataValidation type="list" allowBlank="1" sqref="Q25:R25">
      <formula1>$AB$22:$AC$22</formula1>
    </dataValidation>
    <dataValidation allowBlank="1" showInputMessage="1" sqref="O22:R22"/>
    <dataValidation type="list" allowBlank="1" sqref="O24:R24">
      <formula1>$Z$25:$Z$26</formula1>
    </dataValidation>
  </dataValidations>
  <printOptions/>
  <pageMargins left="0.7" right="0.7" top="0.75" bottom="0.75" header="0.3" footer="0.3"/>
  <pageSetup fitToHeight="1" fitToWidth="1" horizontalDpi="600" verticalDpi="600" orientation="portrait" paperSize="9" scale="69" r:id="rId5"/>
  <drawing r:id="rId4"/>
  <legacyDrawing r:id="rId3"/>
  <oleObjects>
    <oleObject progId="MSWordArt.2" shapeId="18182647" r:id="rId1"/>
    <oleObject progId="HarvardFX" shapeId="18182648" r:id="rId2"/>
  </oleObjects>
</worksheet>
</file>

<file path=xl/worksheets/sheet3.xml><?xml version="1.0" encoding="utf-8"?>
<worksheet xmlns="http://schemas.openxmlformats.org/spreadsheetml/2006/main" xmlns:r="http://schemas.openxmlformats.org/officeDocument/2006/relationships">
  <sheetPr codeName="Sheet7">
    <pageSetUpPr fitToPage="1"/>
  </sheetPr>
  <dimension ref="A1:AG69"/>
  <sheetViews>
    <sheetView zoomScale="80" zoomScaleNormal="80" zoomScalePageLayoutView="0" workbookViewId="0" topLeftCell="A1">
      <selection activeCell="D4" sqref="D4:R4"/>
    </sheetView>
  </sheetViews>
  <sheetFormatPr defaultColWidth="9.140625" defaultRowHeight="15"/>
  <cols>
    <col min="1" max="1" width="3.7109375" style="0" customWidth="1"/>
    <col min="3" max="3" width="4.57421875" style="0" customWidth="1"/>
    <col min="6" max="6" width="9.7109375" style="0" customWidth="1"/>
    <col min="7" max="7" width="2.7109375" style="0" customWidth="1"/>
    <col min="8" max="8" width="15.28125" style="0" customWidth="1"/>
    <col min="9" max="9" width="3.00390625" style="0" customWidth="1"/>
    <col min="10" max="10" width="3.7109375" style="0" customWidth="1"/>
    <col min="12" max="12" width="4.7109375" style="0" customWidth="1"/>
    <col min="13" max="13" width="10.28125" style="0" customWidth="1"/>
    <col min="14" max="14" width="8.7109375" style="0" customWidth="1"/>
    <col min="15" max="15" width="4.421875" style="0" customWidth="1"/>
    <col min="16" max="16" width="6.28125" style="0" customWidth="1"/>
    <col min="17" max="17" width="4.57421875" style="0" customWidth="1"/>
    <col min="18" max="18" width="8.28125" style="0" customWidth="1"/>
    <col min="20" max="20" width="13.7109375" style="0" customWidth="1"/>
    <col min="21" max="21" width="20.00390625" style="0" customWidth="1"/>
    <col min="26" max="26" width="9.28125" style="12" hidden="1" customWidth="1"/>
    <col min="27" max="27" width="24.421875" style="12" hidden="1" customWidth="1"/>
    <col min="28" max="31" width="9.28125" style="12" hidden="1" customWidth="1"/>
    <col min="32" max="32" width="15.28125" style="12" hidden="1" customWidth="1"/>
    <col min="33" max="33" width="9.28125" style="12" hidden="1" customWidth="1"/>
    <col min="34" max="35" width="9.28125" style="0" customWidth="1"/>
  </cols>
  <sheetData>
    <row r="1" spans="1:31" ht="23.25" customHeight="1">
      <c r="A1" s="143"/>
      <c r="B1" s="144"/>
      <c r="C1" s="144"/>
      <c r="D1" s="150" t="s">
        <v>0</v>
      </c>
      <c r="E1" s="150"/>
      <c r="F1" s="150"/>
      <c r="G1" s="150"/>
      <c r="H1" s="150"/>
      <c r="I1" s="150"/>
      <c r="J1" s="151" t="s">
        <v>38</v>
      </c>
      <c r="K1" s="151"/>
      <c r="L1" s="151"/>
      <c r="M1" s="151"/>
      <c r="N1" s="151"/>
      <c r="O1" s="152" t="s">
        <v>64</v>
      </c>
      <c r="P1" s="152"/>
      <c r="Q1" s="152"/>
      <c r="R1" s="153"/>
      <c r="T1" s="11"/>
      <c r="U1" s="24">
        <v>44782</v>
      </c>
      <c r="Z1" s="12" t="s">
        <v>55</v>
      </c>
      <c r="AB1" s="23">
        <v>0</v>
      </c>
      <c r="AC1" s="23">
        <v>1.5</v>
      </c>
      <c r="AE1" s="23">
        <v>0.69</v>
      </c>
    </row>
    <row r="2" spans="1:30" ht="15" customHeight="1">
      <c r="A2" s="145"/>
      <c r="B2" s="146"/>
      <c r="C2" s="147"/>
      <c r="D2" s="154" t="s">
        <v>112</v>
      </c>
      <c r="E2" s="155"/>
      <c r="F2" s="155"/>
      <c r="G2" s="155"/>
      <c r="H2" s="155"/>
      <c r="I2" s="155"/>
      <c r="J2" s="156" t="s">
        <v>1</v>
      </c>
      <c r="K2" s="157"/>
      <c r="L2" s="157"/>
      <c r="M2" s="157"/>
      <c r="N2" s="158"/>
      <c r="O2" s="159" t="s">
        <v>63</v>
      </c>
      <c r="P2" s="159"/>
      <c r="Q2" s="159"/>
      <c r="R2" s="160"/>
      <c r="U2" s="10"/>
      <c r="Z2" s="12" t="s">
        <v>56</v>
      </c>
      <c r="AB2" s="23">
        <v>0</v>
      </c>
      <c r="AC2" s="13"/>
      <c r="AD2" s="13"/>
    </row>
    <row r="3" spans="1:29" ht="15" customHeight="1" thickBot="1">
      <c r="A3" s="148"/>
      <c r="B3" s="149"/>
      <c r="C3" s="149"/>
      <c r="D3" s="161" t="s">
        <v>113</v>
      </c>
      <c r="E3" s="161"/>
      <c r="F3" s="161"/>
      <c r="G3" s="161"/>
      <c r="H3" s="161"/>
      <c r="I3" s="161"/>
      <c r="J3" s="162" t="s">
        <v>34</v>
      </c>
      <c r="K3" s="162"/>
      <c r="L3" s="162"/>
      <c r="M3" s="162"/>
      <c r="N3" s="162"/>
      <c r="O3" s="163" t="s">
        <v>37</v>
      </c>
      <c r="P3" s="163"/>
      <c r="Q3" s="163"/>
      <c r="R3" s="164"/>
      <c r="Z3" s="12" t="s">
        <v>57</v>
      </c>
      <c r="AB3" s="14">
        <f>N13*AB1*D8*D8*AB2*AB2/AC1/10000000</f>
        <v>0</v>
      </c>
      <c r="AC3" s="15" t="s">
        <v>53</v>
      </c>
    </row>
    <row r="4" spans="1:33" ht="15.75" customHeight="1">
      <c r="A4" s="136" t="s">
        <v>35</v>
      </c>
      <c r="B4" s="137"/>
      <c r="C4" s="137"/>
      <c r="D4" s="138"/>
      <c r="E4" s="139"/>
      <c r="F4" s="139"/>
      <c r="G4" s="139"/>
      <c r="H4" s="139"/>
      <c r="I4" s="139"/>
      <c r="J4" s="139"/>
      <c r="K4" s="139"/>
      <c r="L4" s="139"/>
      <c r="M4" s="139"/>
      <c r="N4" s="139"/>
      <c r="O4" s="139"/>
      <c r="P4" s="139"/>
      <c r="Q4" s="139"/>
      <c r="R4" s="140"/>
      <c r="Z4" s="141"/>
      <c r="AA4" s="141"/>
      <c r="AB4" s="141"/>
      <c r="AC4" s="141" t="s">
        <v>54</v>
      </c>
      <c r="AD4" s="141"/>
      <c r="AF4" s="12" t="s">
        <v>103</v>
      </c>
      <c r="AG4" s="12">
        <f>IF(ISERR(FIND(AF4,UPPER($J$5),1))=FALSE,0.35,0.15)</f>
        <v>0.15</v>
      </c>
    </row>
    <row r="5" spans="1:33" ht="15" customHeight="1">
      <c r="A5" s="28">
        <v>1</v>
      </c>
      <c r="B5" s="115" t="s">
        <v>52</v>
      </c>
      <c r="C5" s="115"/>
      <c r="D5" s="87"/>
      <c r="E5" s="87"/>
      <c r="F5" s="87"/>
      <c r="G5" s="29">
        <v>2</v>
      </c>
      <c r="H5" s="115" t="s">
        <v>47</v>
      </c>
      <c r="I5" s="115"/>
      <c r="J5" s="69"/>
      <c r="K5" s="70"/>
      <c r="L5" s="70"/>
      <c r="M5" s="70"/>
      <c r="N5" s="70"/>
      <c r="O5" s="123"/>
      <c r="P5" s="142" t="s">
        <v>3</v>
      </c>
      <c r="Q5" s="142"/>
      <c r="R5" s="30"/>
      <c r="U5" s="10"/>
      <c r="Z5" s="12" t="s">
        <v>58</v>
      </c>
      <c r="AB5" s="16">
        <f>AG10</f>
        <v>0.15</v>
      </c>
      <c r="AD5" s="27"/>
      <c r="AF5" s="12" t="s">
        <v>99</v>
      </c>
      <c r="AG5" s="12">
        <f>IF(ISERR(FIND(AF5,UPPER($J$5),1))=FALSE,0.15,0)</f>
        <v>0</v>
      </c>
    </row>
    <row r="6" spans="1:33" ht="15.75" customHeight="1">
      <c r="A6" s="28">
        <v>2</v>
      </c>
      <c r="B6" s="115" t="s">
        <v>4</v>
      </c>
      <c r="C6" s="115"/>
      <c r="D6" s="69"/>
      <c r="E6" s="70"/>
      <c r="F6" s="123"/>
      <c r="G6" s="29">
        <v>4</v>
      </c>
      <c r="H6" s="115" t="s">
        <v>84</v>
      </c>
      <c r="I6" s="115"/>
      <c r="J6" s="133"/>
      <c r="K6" s="134"/>
      <c r="L6" s="134"/>
      <c r="M6" s="135"/>
      <c r="N6" s="94" t="s">
        <v>5</v>
      </c>
      <c r="O6" s="94"/>
      <c r="P6" s="94" t="s">
        <v>6</v>
      </c>
      <c r="Q6" s="94"/>
      <c r="R6" s="31" t="s">
        <v>7</v>
      </c>
      <c r="U6" s="10"/>
      <c r="Z6" s="12" t="s">
        <v>68</v>
      </c>
      <c r="AB6" s="17" t="e">
        <f>AB3*L19/L21/L21</f>
        <v>#DIV/0!</v>
      </c>
      <c r="AF6" s="12" t="s">
        <v>101</v>
      </c>
      <c r="AG6" s="12">
        <f>IF(ISERR(FIND(AF6,UPPER($J$5),1))=FALSE,IF(AND(ISERR(FIND("SD",UPPER($J$5),1))=FALSE,ISERR(FIND("SDO",UPPER($J$5),1))=TRUE),0.05,0.1),0)</f>
        <v>0</v>
      </c>
    </row>
    <row r="7" spans="1:33" ht="14.25">
      <c r="A7" s="28">
        <v>5</v>
      </c>
      <c r="B7" s="115" t="s">
        <v>36</v>
      </c>
      <c r="C7" s="115"/>
      <c r="D7" s="87"/>
      <c r="E7" s="87"/>
      <c r="F7" s="87"/>
      <c r="G7" s="29">
        <v>6</v>
      </c>
      <c r="H7" s="115" t="s">
        <v>2</v>
      </c>
      <c r="I7" s="115"/>
      <c r="J7" s="87"/>
      <c r="K7" s="87"/>
      <c r="L7" s="87"/>
      <c r="M7" s="87"/>
      <c r="N7" s="88"/>
      <c r="O7" s="88"/>
      <c r="P7" s="88"/>
      <c r="Q7" s="88"/>
      <c r="R7" s="33"/>
      <c r="U7" s="10"/>
      <c r="Z7" s="12" t="s">
        <v>69</v>
      </c>
      <c r="AB7" s="17" t="e">
        <f>AB3*O19/O21/O21</f>
        <v>#DIV/0!</v>
      </c>
      <c r="AF7" s="12" t="s">
        <v>100</v>
      </c>
      <c r="AG7" s="12">
        <f>IF(ISERR(FIND(AF7,UPPER($J$5),1))=FALSE,0.1,0)</f>
        <v>0</v>
      </c>
    </row>
    <row r="8" spans="1:33" ht="15" customHeight="1" thickBot="1">
      <c r="A8" s="34">
        <v>7</v>
      </c>
      <c r="B8" s="131" t="s">
        <v>8</v>
      </c>
      <c r="C8" s="131"/>
      <c r="D8" s="119"/>
      <c r="E8" s="74"/>
      <c r="F8" s="120"/>
      <c r="G8" s="35">
        <v>8</v>
      </c>
      <c r="H8" s="131" t="s">
        <v>9</v>
      </c>
      <c r="I8" s="131"/>
      <c r="J8" s="121"/>
      <c r="K8" s="121"/>
      <c r="L8" s="121"/>
      <c r="M8" s="121"/>
      <c r="N8" s="132"/>
      <c r="O8" s="132"/>
      <c r="P8" s="132"/>
      <c r="Q8" s="132"/>
      <c r="R8" s="36"/>
      <c r="Z8" s="12" t="s">
        <v>60</v>
      </c>
      <c r="AB8" s="17" t="e">
        <f>AB6*IF(L25="NO",1,AB19/0.3/100)</f>
        <v>#DIV/0!</v>
      </c>
      <c r="AF8" s="12" t="s">
        <v>98</v>
      </c>
      <c r="AG8" s="12">
        <f>IF(AND(ISERR(FIND("SD",UPPER($J$5),1))=FALSE,ISERR(FIND("SDO",UPPER($J$5),1))=TRUE),0.05,0)</f>
        <v>0</v>
      </c>
    </row>
    <row r="9" spans="1:33" ht="15.75" thickBot="1">
      <c r="A9" s="125" t="s">
        <v>10</v>
      </c>
      <c r="B9" s="126"/>
      <c r="C9" s="126"/>
      <c r="D9" s="126"/>
      <c r="E9" s="126"/>
      <c r="F9" s="126"/>
      <c r="G9" s="126"/>
      <c r="H9" s="126"/>
      <c r="I9" s="126"/>
      <c r="J9" s="126"/>
      <c r="K9" s="126"/>
      <c r="L9" s="126"/>
      <c r="M9" s="126"/>
      <c r="N9" s="126"/>
      <c r="O9" s="126"/>
      <c r="P9" s="126"/>
      <c r="Q9" s="126"/>
      <c r="R9" s="127"/>
      <c r="Z9" s="12" t="s">
        <v>61</v>
      </c>
      <c r="AB9" s="17" t="e">
        <f>AB7*IF(O25="NO",1,AB21/0.3/100)</f>
        <v>#DIV/0!</v>
      </c>
      <c r="AF9" s="12" t="s">
        <v>97</v>
      </c>
      <c r="AG9" s="12">
        <f>IF(ISERR(FIND(AF9,UPPER($J$5),1))=FALSE,0.1,0)</f>
        <v>0</v>
      </c>
    </row>
    <row r="10" spans="1:33" ht="14.25">
      <c r="A10" s="128" t="s">
        <v>39</v>
      </c>
      <c r="B10" s="129"/>
      <c r="C10" s="129"/>
      <c r="D10" s="129"/>
      <c r="E10" s="129"/>
      <c r="F10" s="129"/>
      <c r="G10" s="129"/>
      <c r="H10" s="129"/>
      <c r="I10" s="129"/>
      <c r="J10" s="129"/>
      <c r="K10" s="129"/>
      <c r="L10" s="129"/>
      <c r="M10" s="129"/>
      <c r="N10" s="129"/>
      <c r="O10" s="129"/>
      <c r="P10" s="129"/>
      <c r="Q10" s="129"/>
      <c r="R10" s="130"/>
      <c r="Z10" s="12" t="s">
        <v>59</v>
      </c>
      <c r="AB10" s="17" t="e">
        <f>AB8+AB5</f>
        <v>#DIV/0!</v>
      </c>
      <c r="AF10" s="12" t="s">
        <v>102</v>
      </c>
      <c r="AG10" s="12">
        <f>AG4-AG5-AG6+AG7+AG8-AG9</f>
        <v>0.15</v>
      </c>
    </row>
    <row r="11" spans="1:28" ht="15" customHeight="1">
      <c r="A11" s="28">
        <v>9</v>
      </c>
      <c r="B11" s="115" t="s">
        <v>41</v>
      </c>
      <c r="C11" s="115"/>
      <c r="D11" s="115"/>
      <c r="E11" s="115"/>
      <c r="F11" s="87"/>
      <c r="G11" s="87"/>
      <c r="H11" s="87"/>
      <c r="I11" s="87"/>
      <c r="J11" s="29">
        <v>10</v>
      </c>
      <c r="K11" s="115" t="s">
        <v>81</v>
      </c>
      <c r="L11" s="115"/>
      <c r="M11" s="115"/>
      <c r="N11" s="87"/>
      <c r="O11" s="87"/>
      <c r="P11" s="87"/>
      <c r="Q11" s="87"/>
      <c r="R11" s="124"/>
      <c r="Z11" s="12" t="s">
        <v>62</v>
      </c>
      <c r="AB11" s="17">
        <f>L18+IF(L20="+",1,-1)*M20/10*N13-F13/760-0.1</f>
        <v>0.9</v>
      </c>
    </row>
    <row r="12" spans="1:29" ht="15" customHeight="1">
      <c r="A12" s="28">
        <v>11</v>
      </c>
      <c r="B12" s="115" t="s">
        <v>42</v>
      </c>
      <c r="C12" s="115"/>
      <c r="D12" s="115"/>
      <c r="E12" s="115"/>
      <c r="F12" s="69"/>
      <c r="G12" s="70"/>
      <c r="H12" s="70"/>
      <c r="I12" s="123"/>
      <c r="J12" s="29">
        <v>12</v>
      </c>
      <c r="K12" s="115" t="s">
        <v>11</v>
      </c>
      <c r="L12" s="115"/>
      <c r="M12" s="115"/>
      <c r="N12" s="87"/>
      <c r="O12" s="87"/>
      <c r="P12" s="87"/>
      <c r="Q12" s="87"/>
      <c r="R12" s="124"/>
      <c r="Z12" s="12" t="s">
        <v>70</v>
      </c>
      <c r="AB12" s="18" t="e">
        <f>AB11-AB10</f>
        <v>#DIV/0!</v>
      </c>
      <c r="AC12" s="12" t="s">
        <v>72</v>
      </c>
    </row>
    <row r="13" spans="1:28" ht="15" customHeight="1">
      <c r="A13" s="28">
        <v>13</v>
      </c>
      <c r="B13" s="115" t="s">
        <v>12</v>
      </c>
      <c r="C13" s="115"/>
      <c r="D13" s="115"/>
      <c r="E13" s="115"/>
      <c r="F13" s="87"/>
      <c r="G13" s="87"/>
      <c r="H13" s="87"/>
      <c r="I13" s="87"/>
      <c r="J13" s="29">
        <v>14</v>
      </c>
      <c r="K13" s="115" t="s">
        <v>13</v>
      </c>
      <c r="L13" s="115"/>
      <c r="M13" s="115"/>
      <c r="N13" s="69"/>
      <c r="O13" s="70"/>
      <c r="P13" s="70"/>
      <c r="Q13" s="70"/>
      <c r="R13" s="71"/>
      <c r="Z13" s="12" t="s">
        <v>71</v>
      </c>
      <c r="AB13" s="17" t="e">
        <f>O18+IF(O20="+",1,-1)*P20*N13/10-L18-IF(L20="+",1,-1)*M20*N13/10-AB8-AB9</f>
        <v>#DIV/0!</v>
      </c>
    </row>
    <row r="14" spans="1:30" ht="15" customHeight="1">
      <c r="A14" s="28">
        <v>15</v>
      </c>
      <c r="B14" s="115" t="s">
        <v>14</v>
      </c>
      <c r="C14" s="115"/>
      <c r="D14" s="115"/>
      <c r="E14" s="115"/>
      <c r="F14" s="87"/>
      <c r="G14" s="87"/>
      <c r="H14" s="87"/>
      <c r="I14" s="87"/>
      <c r="J14" s="29" t="s">
        <v>15</v>
      </c>
      <c r="K14" s="115" t="s">
        <v>16</v>
      </c>
      <c r="L14" s="115"/>
      <c r="M14" s="115"/>
      <c r="N14" s="69" t="s">
        <v>92</v>
      </c>
      <c r="O14" s="70"/>
      <c r="P14" s="70"/>
      <c r="Q14" s="70"/>
      <c r="R14" s="71"/>
      <c r="Z14" s="12" t="s">
        <v>94</v>
      </c>
      <c r="AB14" s="17" t="e">
        <f>IF(AB13&lt;0.4,IF(AB13&lt;-0.6,ABS(AB13-0.4),1),0)</f>
        <v>#DIV/0!</v>
      </c>
      <c r="AC14" s="26" t="e">
        <f>ROUND(AB14,1)</f>
        <v>#DIV/0!</v>
      </c>
      <c r="AD14" s="12" t="e">
        <f>IF(AB13&lt;0.4,ROUND(ABS(AB13-0.4)+0.05,1),0)</f>
        <v>#DIV/0!</v>
      </c>
    </row>
    <row r="15" spans="1:28" ht="22.5" customHeight="1" thickBot="1">
      <c r="A15" s="34" t="s">
        <v>17</v>
      </c>
      <c r="B15" s="116" t="s">
        <v>80</v>
      </c>
      <c r="C15" s="116"/>
      <c r="D15" s="116"/>
      <c r="E15" s="116"/>
      <c r="F15" s="117"/>
      <c r="G15" s="118"/>
      <c r="H15" s="119"/>
      <c r="I15" s="120"/>
      <c r="J15" s="35" t="s">
        <v>18</v>
      </c>
      <c r="K15" s="116" t="s">
        <v>19</v>
      </c>
      <c r="L15" s="116"/>
      <c r="M15" s="116"/>
      <c r="N15" s="121"/>
      <c r="O15" s="121"/>
      <c r="P15" s="121"/>
      <c r="Q15" s="121"/>
      <c r="R15" s="122"/>
      <c r="Z15" s="12" t="s">
        <v>95</v>
      </c>
      <c r="AB15" s="17" t="b">
        <f>IF(O23="YES",IF(Q23&gt;IF(AB14=0,1,AB14),Q23,IF(AB14=0,1,AB14)))</f>
        <v>0</v>
      </c>
    </row>
    <row r="16" spans="1:29" ht="15.75" thickBot="1">
      <c r="A16" s="110" t="s">
        <v>40</v>
      </c>
      <c r="B16" s="111"/>
      <c r="C16" s="111"/>
      <c r="D16" s="111"/>
      <c r="E16" s="111"/>
      <c r="F16" s="111"/>
      <c r="G16" s="111"/>
      <c r="H16" s="111"/>
      <c r="I16" s="111"/>
      <c r="J16" s="111"/>
      <c r="K16" s="111"/>
      <c r="L16" s="111"/>
      <c r="M16" s="111"/>
      <c r="N16" s="111"/>
      <c r="O16" s="111"/>
      <c r="P16" s="111"/>
      <c r="Q16" s="111"/>
      <c r="R16" s="112"/>
      <c r="Z16" s="12" t="s">
        <v>65</v>
      </c>
      <c r="AB16" s="17" t="e">
        <f>AB15+O18+IF(O20="+",1,-1)*P20*N13/10-L18-IF(L20="+",1,-1)*M20*N13/10-AB8-AB9</f>
        <v>#DIV/0!</v>
      </c>
      <c r="AC16" s="12" t="s">
        <v>73</v>
      </c>
    </row>
    <row r="17" spans="1:28" ht="15" customHeight="1">
      <c r="A17" s="113" t="s">
        <v>20</v>
      </c>
      <c r="B17" s="82"/>
      <c r="C17" s="82"/>
      <c r="D17" s="82"/>
      <c r="E17" s="82"/>
      <c r="F17" s="82"/>
      <c r="G17" s="82"/>
      <c r="H17" s="82"/>
      <c r="I17" s="82"/>
      <c r="J17" s="82"/>
      <c r="K17" s="82"/>
      <c r="L17" s="82" t="s">
        <v>21</v>
      </c>
      <c r="M17" s="82"/>
      <c r="N17" s="82"/>
      <c r="O17" s="82" t="s">
        <v>22</v>
      </c>
      <c r="P17" s="82"/>
      <c r="Q17" s="82"/>
      <c r="R17" s="83"/>
      <c r="Z17" s="12" t="s">
        <v>66</v>
      </c>
      <c r="AB17" s="17" t="e">
        <f>L18+IF(L20="+",1,-1)*M20/10*N13+AB8</f>
        <v>#DIV/0!</v>
      </c>
    </row>
    <row r="18" spans="1:28" ht="14.25">
      <c r="A18" s="37">
        <v>17</v>
      </c>
      <c r="B18" s="92" t="s">
        <v>105</v>
      </c>
      <c r="C18" s="92"/>
      <c r="D18" s="92"/>
      <c r="E18" s="92"/>
      <c r="F18" s="92"/>
      <c r="G18" s="92"/>
      <c r="H18" s="92"/>
      <c r="I18" s="92"/>
      <c r="J18" s="92"/>
      <c r="K18" s="92"/>
      <c r="L18" s="88">
        <v>1</v>
      </c>
      <c r="M18" s="88"/>
      <c r="N18" s="88"/>
      <c r="O18" s="88">
        <v>1</v>
      </c>
      <c r="P18" s="88"/>
      <c r="Q18" s="88"/>
      <c r="R18" s="114"/>
      <c r="Z18" s="19" t="s">
        <v>67</v>
      </c>
      <c r="AA18" s="19"/>
      <c r="AB18" s="20" t="e">
        <f>MAX(J6,O18+IF(O20="+",1,-1)*P20*N13/10+AB9+AB15)</f>
        <v>#DIV/0!</v>
      </c>
    </row>
    <row r="19" spans="1:28" ht="14.25">
      <c r="A19" s="37">
        <v>18</v>
      </c>
      <c r="B19" s="92" t="s">
        <v>23</v>
      </c>
      <c r="C19" s="92"/>
      <c r="D19" s="92"/>
      <c r="E19" s="92"/>
      <c r="F19" s="92"/>
      <c r="G19" s="92"/>
      <c r="H19" s="92"/>
      <c r="I19" s="92"/>
      <c r="J19" s="92"/>
      <c r="K19" s="92"/>
      <c r="L19" s="89"/>
      <c r="M19" s="90"/>
      <c r="N19" s="106"/>
      <c r="O19" s="89"/>
      <c r="P19" s="90"/>
      <c r="Q19" s="90"/>
      <c r="R19" s="91"/>
      <c r="Z19" s="12" t="s">
        <v>77</v>
      </c>
      <c r="AB19" s="21">
        <f>G25</f>
        <v>3</v>
      </c>
    </row>
    <row r="20" spans="1:30" ht="14.25">
      <c r="A20" s="37">
        <v>19</v>
      </c>
      <c r="B20" s="92" t="s">
        <v>104</v>
      </c>
      <c r="C20" s="92"/>
      <c r="D20" s="92"/>
      <c r="E20" s="92"/>
      <c r="F20" s="92"/>
      <c r="G20" s="92"/>
      <c r="H20" s="92"/>
      <c r="I20" s="92"/>
      <c r="J20" s="92"/>
      <c r="K20" s="92"/>
      <c r="L20" s="39" t="s">
        <v>48</v>
      </c>
      <c r="M20" s="89"/>
      <c r="N20" s="106"/>
      <c r="O20" s="39" t="s">
        <v>48</v>
      </c>
      <c r="P20" s="89"/>
      <c r="Q20" s="90"/>
      <c r="R20" s="91"/>
      <c r="Z20" s="12" t="s">
        <v>74</v>
      </c>
      <c r="AB20" s="21" t="e">
        <f>IF(AC20&lt;=0.55,0.5,IF(AC20&lt;=1.1,1,IF(AC20&lt;=2.2,2,IF(AC20&lt;=3.3,3,IF(AC20&lt;=5.5,5,IF(AC20&lt;=7.7,7,IF(AC20&lt;=11,10,IF(AC20&lt;=17.6,16,AD20))))))))</f>
        <v>#DIV/0!</v>
      </c>
      <c r="AC20" s="21" t="e">
        <f>ROUND((D6*AE1/60/D8)/((1/AB17/(1-AB19/100))^0.7193-(1/AB17/(1+AB19/100))^0.7193),1)</f>
        <v>#DIV/0!</v>
      </c>
      <c r="AD20" s="12" t="e">
        <f>IF(AC20&lt;=33,30,IF(AC20&lt;=44,40,IF(AC20&lt;=66,60,AC20)))</f>
        <v>#DIV/0!</v>
      </c>
    </row>
    <row r="21" spans="1:28" ht="14.25">
      <c r="A21" s="37">
        <v>20</v>
      </c>
      <c r="B21" s="92" t="s">
        <v>106</v>
      </c>
      <c r="C21" s="92"/>
      <c r="D21" s="92"/>
      <c r="E21" s="92"/>
      <c r="F21" s="92"/>
      <c r="G21" s="92"/>
      <c r="H21" s="92"/>
      <c r="I21" s="92"/>
      <c r="J21" s="92"/>
      <c r="K21" s="92"/>
      <c r="L21" s="89"/>
      <c r="M21" s="90"/>
      <c r="N21" s="106"/>
      <c r="O21" s="89"/>
      <c r="P21" s="90"/>
      <c r="Q21" s="90"/>
      <c r="R21" s="91"/>
      <c r="Z21" s="12" t="s">
        <v>76</v>
      </c>
      <c r="AB21" s="21">
        <f>G25</f>
        <v>3</v>
      </c>
    </row>
    <row r="22" spans="1:30" ht="14.25">
      <c r="A22" s="37">
        <v>21</v>
      </c>
      <c r="B22" s="92" t="s">
        <v>107</v>
      </c>
      <c r="C22" s="92"/>
      <c r="D22" s="92"/>
      <c r="E22" s="92"/>
      <c r="F22" s="92"/>
      <c r="G22" s="92"/>
      <c r="H22" s="92"/>
      <c r="I22" s="92"/>
      <c r="J22" s="92"/>
      <c r="K22" s="92"/>
      <c r="L22" s="89" t="s">
        <v>93</v>
      </c>
      <c r="M22" s="90"/>
      <c r="N22" s="106"/>
      <c r="O22" s="97" t="s">
        <v>24</v>
      </c>
      <c r="P22" s="108"/>
      <c r="Q22" s="108"/>
      <c r="R22" s="109"/>
      <c r="Z22" s="12" t="s">
        <v>75</v>
      </c>
      <c r="AB22" s="21" t="e">
        <f>IF(AC22&lt;=0.55,0.5,IF(AC22&lt;=1.1,1,IF(AC22&lt;=2.2,2,IF(AC22&lt;=3.3,3,IF(AC22&lt;=5.5,5,IF(AC22&lt;=7.7,7,IF(AC22&lt;=11,10,IF(AC22&lt;=17.6,16,AD22))))))))</f>
        <v>#DIV/0!</v>
      </c>
      <c r="AC22" s="12" t="e">
        <f>ROUND((D6*AE1/60/D8)/((1/AB18/(1-AB21/100))^0.7193-(1/AB18/(1+AB21/100))^0.7193),1)</f>
        <v>#DIV/0!</v>
      </c>
      <c r="AD22" s="12" t="e">
        <f>IF(AC22&lt;=33,30,IF(AC22&lt;=44,40,IF(AC22&lt;=66,60,AC22)))</f>
        <v>#DIV/0!</v>
      </c>
    </row>
    <row r="23" spans="1:29" ht="14.25">
      <c r="A23" s="37">
        <v>22</v>
      </c>
      <c r="B23" s="92" t="s">
        <v>49</v>
      </c>
      <c r="C23" s="92"/>
      <c r="D23" s="92"/>
      <c r="E23" s="92"/>
      <c r="F23" s="92"/>
      <c r="G23" s="92"/>
      <c r="H23" s="92"/>
      <c r="I23" s="92"/>
      <c r="J23" s="92"/>
      <c r="K23" s="92"/>
      <c r="L23" s="94" t="s">
        <v>24</v>
      </c>
      <c r="M23" s="94"/>
      <c r="N23" s="94"/>
      <c r="O23" s="89"/>
      <c r="P23" s="106"/>
      <c r="Q23" s="90"/>
      <c r="R23" s="91"/>
      <c r="Z23" s="12" t="s">
        <v>78</v>
      </c>
      <c r="AB23" s="22" t="e">
        <f>IF(ROUND(AB15+O18+IF(O20="+",1,-1)*P20*N13/10+AB9,1)&lt;=10,AB15+O18+IF(O20="+",1,-1)*P20*N13/10+AB9,(AB15+O18+IF(O20="+",1,-1)*P20*N13/10+AB9)*1.05)</f>
        <v>#DIV/0!</v>
      </c>
      <c r="AC23" s="12" t="s">
        <v>82</v>
      </c>
    </row>
    <row r="24" spans="1:18" ht="14.25">
      <c r="A24" s="37">
        <v>23</v>
      </c>
      <c r="B24" s="92" t="s">
        <v>43</v>
      </c>
      <c r="C24" s="92"/>
      <c r="D24" s="92"/>
      <c r="E24" s="92"/>
      <c r="F24" s="92"/>
      <c r="G24" s="107"/>
      <c r="H24" s="92"/>
      <c r="I24" s="92"/>
      <c r="J24" s="92"/>
      <c r="K24" s="92"/>
      <c r="L24" s="94" t="s">
        <v>24</v>
      </c>
      <c r="M24" s="94"/>
      <c r="N24" s="94"/>
      <c r="O24" s="89">
        <f>J6+1</f>
        <v>1</v>
      </c>
      <c r="P24" s="90"/>
      <c r="Q24" s="90"/>
      <c r="R24" s="91"/>
    </row>
    <row r="25" spans="1:27" ht="15" customHeight="1">
      <c r="A25" s="37">
        <v>24</v>
      </c>
      <c r="B25" s="67" t="s">
        <v>110</v>
      </c>
      <c r="C25" s="95"/>
      <c r="D25" s="95"/>
      <c r="E25" s="95"/>
      <c r="F25" s="95"/>
      <c r="G25" s="40">
        <v>3</v>
      </c>
      <c r="H25" s="104" t="s">
        <v>111</v>
      </c>
      <c r="I25" s="104"/>
      <c r="J25" s="104"/>
      <c r="K25" s="105"/>
      <c r="L25" s="88" t="s">
        <v>92</v>
      </c>
      <c r="M25" s="88"/>
      <c r="N25" s="32"/>
      <c r="O25" s="88" t="s">
        <v>92</v>
      </c>
      <c r="P25" s="88"/>
      <c r="Q25" s="89"/>
      <c r="R25" s="91"/>
      <c r="Z25" s="12">
        <f>IF(J6&lt;10,J6+1,J6*1.1)</f>
        <v>1</v>
      </c>
      <c r="AA25" s="12" t="s">
        <v>83</v>
      </c>
    </row>
    <row r="26" spans="1:26" ht="14.25">
      <c r="A26" s="37"/>
      <c r="B26" s="97"/>
      <c r="C26" s="98"/>
      <c r="D26" s="99" t="s">
        <v>21</v>
      </c>
      <c r="E26" s="100"/>
      <c r="F26" s="100"/>
      <c r="G26" s="101"/>
      <c r="H26" s="102"/>
      <c r="I26" s="99" t="s">
        <v>22</v>
      </c>
      <c r="J26" s="100"/>
      <c r="K26" s="100"/>
      <c r="L26" s="100"/>
      <c r="M26" s="100"/>
      <c r="N26" s="100"/>
      <c r="O26" s="100"/>
      <c r="P26" s="100"/>
      <c r="Q26" s="100"/>
      <c r="R26" s="103"/>
      <c r="Z26" s="12" t="e">
        <f>ROUND(IF(AB23&lt;10,AB23+1,AB23*1.1),1)</f>
        <v>#DIV/0!</v>
      </c>
    </row>
    <row r="27" spans="1:18" ht="14.25">
      <c r="A27" s="37"/>
      <c r="B27" s="67" t="s">
        <v>51</v>
      </c>
      <c r="C27" s="68"/>
      <c r="D27" s="38" t="s">
        <v>25</v>
      </c>
      <c r="E27" s="38" t="s">
        <v>26</v>
      </c>
      <c r="F27" s="92" t="s">
        <v>27</v>
      </c>
      <c r="G27" s="92"/>
      <c r="H27" s="92"/>
      <c r="I27" s="92" t="s">
        <v>25</v>
      </c>
      <c r="J27" s="92"/>
      <c r="K27" s="92"/>
      <c r="L27" s="94" t="s">
        <v>26</v>
      </c>
      <c r="M27" s="94"/>
      <c r="N27" s="67" t="s">
        <v>28</v>
      </c>
      <c r="O27" s="95"/>
      <c r="P27" s="95"/>
      <c r="Q27" s="95"/>
      <c r="R27" s="96"/>
    </row>
    <row r="28" spans="1:18" ht="15" customHeight="1">
      <c r="A28" s="37">
        <v>25</v>
      </c>
      <c r="B28" s="92" t="s">
        <v>29</v>
      </c>
      <c r="C28" s="92"/>
      <c r="D28" s="41"/>
      <c r="E28" s="41"/>
      <c r="F28" s="93"/>
      <c r="G28" s="93"/>
      <c r="H28" s="93"/>
      <c r="I28" s="93"/>
      <c r="J28" s="93"/>
      <c r="K28" s="93"/>
      <c r="L28" s="88"/>
      <c r="M28" s="88"/>
      <c r="N28" s="89"/>
      <c r="O28" s="90"/>
      <c r="P28" s="90"/>
      <c r="Q28" s="90"/>
      <c r="R28" s="91"/>
    </row>
    <row r="29" spans="1:18" ht="14.25">
      <c r="A29" s="37">
        <v>26</v>
      </c>
      <c r="B29" s="92" t="s">
        <v>30</v>
      </c>
      <c r="C29" s="92"/>
      <c r="D29" s="41"/>
      <c r="E29" s="41"/>
      <c r="F29" s="93"/>
      <c r="G29" s="93"/>
      <c r="H29" s="93"/>
      <c r="I29" s="93"/>
      <c r="J29" s="93"/>
      <c r="K29" s="93"/>
      <c r="L29" s="88"/>
      <c r="M29" s="88"/>
      <c r="N29" s="89"/>
      <c r="O29" s="90"/>
      <c r="P29" s="90"/>
      <c r="Q29" s="90"/>
      <c r="R29" s="91"/>
    </row>
    <row r="30" spans="1:18" ht="14.25">
      <c r="A30" s="37">
        <v>27</v>
      </c>
      <c r="B30" s="87" t="s">
        <v>108</v>
      </c>
      <c r="C30" s="87"/>
      <c r="D30" s="41"/>
      <c r="E30" s="41"/>
      <c r="F30" s="88"/>
      <c r="G30" s="88"/>
      <c r="H30" s="88"/>
      <c r="I30" s="88"/>
      <c r="J30" s="88"/>
      <c r="K30" s="88"/>
      <c r="L30" s="88"/>
      <c r="M30" s="88"/>
      <c r="N30" s="89"/>
      <c r="O30" s="90"/>
      <c r="P30" s="90"/>
      <c r="Q30" s="90"/>
      <c r="R30" s="91"/>
    </row>
    <row r="31" spans="1:18" ht="14.25">
      <c r="A31" s="37">
        <v>28</v>
      </c>
      <c r="B31" s="87" t="s">
        <v>109</v>
      </c>
      <c r="C31" s="87"/>
      <c r="D31" s="41"/>
      <c r="E31" s="41"/>
      <c r="F31" s="88"/>
      <c r="G31" s="88"/>
      <c r="H31" s="88"/>
      <c r="I31" s="88"/>
      <c r="J31" s="88"/>
      <c r="K31" s="88"/>
      <c r="L31" s="88"/>
      <c r="M31" s="88"/>
      <c r="N31" s="89"/>
      <c r="O31" s="90"/>
      <c r="P31" s="90"/>
      <c r="Q31" s="90"/>
      <c r="R31" s="91"/>
    </row>
    <row r="32" spans="1:18" ht="14.25">
      <c r="A32" s="37">
        <v>29</v>
      </c>
      <c r="B32" s="87" t="s">
        <v>109</v>
      </c>
      <c r="C32" s="87"/>
      <c r="D32" s="41"/>
      <c r="E32" s="41"/>
      <c r="F32" s="88"/>
      <c r="G32" s="88"/>
      <c r="H32" s="88"/>
      <c r="I32" s="88"/>
      <c r="J32" s="88"/>
      <c r="K32" s="88"/>
      <c r="L32" s="88"/>
      <c r="M32" s="88"/>
      <c r="N32" s="89"/>
      <c r="O32" s="90"/>
      <c r="P32" s="90"/>
      <c r="Q32" s="90"/>
      <c r="R32" s="91"/>
    </row>
    <row r="33" spans="1:18" ht="14.25">
      <c r="A33" s="37">
        <v>30</v>
      </c>
      <c r="B33" s="67" t="s">
        <v>31</v>
      </c>
      <c r="C33" s="68"/>
      <c r="D33" s="69"/>
      <c r="E33" s="70"/>
      <c r="F33" s="70"/>
      <c r="G33" s="70"/>
      <c r="H33" s="70"/>
      <c r="I33" s="70"/>
      <c r="J33" s="70"/>
      <c r="K33" s="70"/>
      <c r="L33" s="70"/>
      <c r="M33" s="70"/>
      <c r="N33" s="70"/>
      <c r="O33" s="70"/>
      <c r="P33" s="70"/>
      <c r="Q33" s="70"/>
      <c r="R33" s="71"/>
    </row>
    <row r="34" spans="1:18" ht="15" customHeight="1" thickBot="1">
      <c r="A34" s="42">
        <v>31</v>
      </c>
      <c r="B34" s="72" t="s">
        <v>32</v>
      </c>
      <c r="C34" s="73"/>
      <c r="D34" s="74"/>
      <c r="E34" s="74"/>
      <c r="F34" s="74"/>
      <c r="G34" s="74"/>
      <c r="H34" s="74"/>
      <c r="I34" s="74"/>
      <c r="J34" s="74"/>
      <c r="K34" s="74"/>
      <c r="L34" s="74"/>
      <c r="M34" s="74"/>
      <c r="N34" s="74"/>
      <c r="O34" s="74"/>
      <c r="P34" s="74"/>
      <c r="Q34" s="74"/>
      <c r="R34" s="75"/>
    </row>
    <row r="35" spans="1:18" ht="14.25">
      <c r="A35" s="76"/>
      <c r="B35" s="77"/>
      <c r="C35" s="77"/>
      <c r="D35" s="77"/>
      <c r="E35" s="77"/>
      <c r="F35" s="77"/>
      <c r="G35" s="77"/>
      <c r="H35" s="77"/>
      <c r="I35" s="77"/>
      <c r="J35" s="77"/>
      <c r="K35" s="77"/>
      <c r="L35" s="77"/>
      <c r="M35" s="82" t="s">
        <v>79</v>
      </c>
      <c r="N35" s="82"/>
      <c r="O35" s="82"/>
      <c r="P35" s="82"/>
      <c r="Q35" s="82"/>
      <c r="R35" s="83"/>
    </row>
    <row r="36" spans="1:26" ht="14.25">
      <c r="A36" s="78"/>
      <c r="B36" s="79"/>
      <c r="C36" s="79"/>
      <c r="D36" s="79"/>
      <c r="E36" s="79"/>
      <c r="F36" s="79"/>
      <c r="G36" s="79"/>
      <c r="H36" s="79"/>
      <c r="I36" s="79"/>
      <c r="J36" s="79"/>
      <c r="K36" s="79"/>
      <c r="L36" s="79"/>
      <c r="M36" s="84"/>
      <c r="N36" s="85"/>
      <c r="O36" s="85"/>
      <c r="P36" s="85"/>
      <c r="Q36" s="85"/>
      <c r="R36" s="86"/>
      <c r="Z36" s="12" t="e">
        <f>"NPSHA = "&amp;ROUND(AB11*10/N13,1)&amp;" MLC"</f>
        <v>#DIV/0!</v>
      </c>
    </row>
    <row r="37" spans="1:26" ht="14.25">
      <c r="A37" s="78"/>
      <c r="B37" s="79"/>
      <c r="C37" s="79"/>
      <c r="D37" s="79"/>
      <c r="E37" s="79"/>
      <c r="F37" s="79"/>
      <c r="G37" s="79"/>
      <c r="H37" s="79"/>
      <c r="I37" s="79"/>
      <c r="J37" s="79"/>
      <c r="K37" s="79"/>
      <c r="L37" s="79"/>
      <c r="M37" s="58"/>
      <c r="N37" s="59"/>
      <c r="O37" s="59"/>
      <c r="P37" s="59"/>
      <c r="Q37" s="59"/>
      <c r="R37" s="60"/>
      <c r="Z37" s="12" t="e">
        <f>"NPSHR = "&amp;ROUND(AB10*10/N13,1)&amp;" MLC"</f>
        <v>#DIV/0!</v>
      </c>
    </row>
    <row r="38" spans="1:26" ht="14.25">
      <c r="A38" s="78"/>
      <c r="B38" s="79"/>
      <c r="C38" s="79"/>
      <c r="D38" s="79"/>
      <c r="E38" s="79"/>
      <c r="F38" s="79"/>
      <c r="G38" s="79"/>
      <c r="H38" s="79"/>
      <c r="I38" s="79"/>
      <c r="J38" s="79"/>
      <c r="K38" s="79"/>
      <c r="L38" s="79"/>
      <c r="M38" s="58"/>
      <c r="N38" s="59"/>
      <c r="O38" s="59"/>
      <c r="P38" s="59"/>
      <c r="Q38" s="59"/>
      <c r="R38" s="60"/>
      <c r="Z38" s="12" t="e">
        <f>IF(OR(ROUND(AB12,2)&lt;0.1,ROUND(AB16,2)&lt;0.4),"Increase Suction Pipe NB","")</f>
        <v>#DIV/0!</v>
      </c>
    </row>
    <row r="39" spans="1:26" ht="14.25">
      <c r="A39" s="78"/>
      <c r="B39" s="79"/>
      <c r="C39" s="79"/>
      <c r="D39" s="79"/>
      <c r="E39" s="79"/>
      <c r="F39" s="79"/>
      <c r="G39" s="79"/>
      <c r="H39" s="79"/>
      <c r="I39" s="79"/>
      <c r="J39" s="79"/>
      <c r="K39" s="79"/>
      <c r="L39" s="79"/>
      <c r="M39" s="58"/>
      <c r="N39" s="59"/>
      <c r="O39" s="59"/>
      <c r="P39" s="59"/>
      <c r="Q39" s="59"/>
      <c r="R39" s="60"/>
      <c r="Z39" s="12" t="e">
        <f>IF(OR(ROUND(AB12,2)&lt;0.1,ROUND(AB16,2)&lt;0.4),"Increase Suction Static Head","")</f>
        <v>#DIV/0!</v>
      </c>
    </row>
    <row r="40" spans="1:26" ht="14.25">
      <c r="A40" s="78"/>
      <c r="B40" s="79"/>
      <c r="C40" s="79"/>
      <c r="D40" s="79"/>
      <c r="E40" s="79"/>
      <c r="F40" s="79"/>
      <c r="G40" s="79"/>
      <c r="H40" s="79"/>
      <c r="I40" s="79"/>
      <c r="J40" s="79"/>
      <c r="K40" s="79"/>
      <c r="L40" s="79"/>
      <c r="M40" s="58"/>
      <c r="N40" s="59"/>
      <c r="O40" s="59"/>
      <c r="P40" s="59"/>
      <c r="Q40" s="59"/>
      <c r="R40" s="60"/>
      <c r="Z40" s="12" t="e">
        <f>IF(OR(ROUND(AB12,2)&lt;0.1,ROUND(AB16,2)&lt;0.4),"Reduce Suction Pipe Horizontal Length","")</f>
        <v>#DIV/0!</v>
      </c>
    </row>
    <row r="41" spans="1:26" ht="14.25">
      <c r="A41" s="78"/>
      <c r="B41" s="79"/>
      <c r="C41" s="79"/>
      <c r="D41" s="79"/>
      <c r="E41" s="79"/>
      <c r="F41" s="79"/>
      <c r="G41" s="79"/>
      <c r="H41" s="79"/>
      <c r="I41" s="79"/>
      <c r="J41" s="79"/>
      <c r="K41" s="79"/>
      <c r="L41" s="79"/>
      <c r="M41" s="58"/>
      <c r="N41" s="59"/>
      <c r="O41" s="59"/>
      <c r="P41" s="59"/>
      <c r="Q41" s="59"/>
      <c r="R41" s="60"/>
      <c r="Z41" s="12" t="e">
        <f>IF(OR(AND(ROUND(AB12,2)&lt;0.1,L25="NO"),AND(ROUND(AB16,2)&lt;0.4,L25="NO")),"Provide Suction Damper of Minimum "&amp;ROUND(AB20,1)&amp;" Lit","")</f>
        <v>#DIV/0!</v>
      </c>
    </row>
    <row r="42" spans="1:26" ht="14.25">
      <c r="A42" s="78"/>
      <c r="B42" s="79"/>
      <c r="C42" s="79"/>
      <c r="D42" s="79"/>
      <c r="E42" s="79"/>
      <c r="F42" s="79"/>
      <c r="G42" s="79"/>
      <c r="H42" s="79"/>
      <c r="I42" s="79"/>
      <c r="J42" s="79"/>
      <c r="K42" s="79"/>
      <c r="L42" s="79"/>
      <c r="M42" s="64"/>
      <c r="N42" s="65"/>
      <c r="O42" s="65"/>
      <c r="P42" s="65"/>
      <c r="Q42" s="65"/>
      <c r="R42" s="66"/>
      <c r="Z42" s="12" t="e">
        <f>IF(AND(ROUND(AB16,2)&lt;0.4,O23="NO"),"Provide Back Pressure valve @ "&amp;ROUND(IF(ABS(AB13-0.4)&lt;1,1,ABS(AB13-0.4)),1)&amp;" Kg/cm sq","")</f>
        <v>#DIV/0!</v>
      </c>
    </row>
    <row r="43" spans="1:26" ht="14.25">
      <c r="A43" s="78"/>
      <c r="B43" s="79"/>
      <c r="C43" s="79"/>
      <c r="D43" s="79"/>
      <c r="E43" s="79"/>
      <c r="F43" s="79"/>
      <c r="G43" s="79"/>
      <c r="H43" s="79"/>
      <c r="I43" s="79"/>
      <c r="J43" s="79"/>
      <c r="K43" s="79"/>
      <c r="L43" s="79"/>
      <c r="M43" s="58"/>
      <c r="N43" s="59"/>
      <c r="O43" s="59"/>
      <c r="P43" s="59"/>
      <c r="Q43" s="59"/>
      <c r="R43" s="60"/>
      <c r="Z43" s="12" t="e">
        <f>IF(OR(ROUND(AB16,2)&lt;0.4,AND(J6&lt;ROUND(AB23,1),ROUND(AB9/AB23,2)&gt;0.2)),"Increse Discharge Pipe NB","")</f>
        <v>#DIV/0!</v>
      </c>
    </row>
    <row r="44" spans="1:26" ht="14.25">
      <c r="A44" s="78"/>
      <c r="B44" s="79"/>
      <c r="C44" s="79"/>
      <c r="D44" s="79"/>
      <c r="E44" s="79"/>
      <c r="F44" s="79"/>
      <c r="G44" s="79"/>
      <c r="H44" s="79"/>
      <c r="I44" s="79"/>
      <c r="J44" s="79"/>
      <c r="K44" s="79"/>
      <c r="L44" s="79"/>
      <c r="M44" s="58"/>
      <c r="N44" s="59"/>
      <c r="O44" s="59"/>
      <c r="P44" s="59"/>
      <c r="Q44" s="59"/>
      <c r="R44" s="60"/>
      <c r="Z44" s="12" t="e">
        <f>IF(OR(ROUND(AB16,2)&lt;0.4,AND(J6&lt;ROUND(AB23,1),ROUND(AB9/AB23,2)&gt;0.2)),"Reduce Discharge Pipe Horizontal Lenght","")</f>
        <v>#DIV/0!</v>
      </c>
    </row>
    <row r="45" spans="1:26" ht="14.25">
      <c r="A45" s="78"/>
      <c r="B45" s="79"/>
      <c r="C45" s="79"/>
      <c r="D45" s="79"/>
      <c r="E45" s="79"/>
      <c r="F45" s="79"/>
      <c r="G45" s="79"/>
      <c r="H45" s="79"/>
      <c r="I45" s="79"/>
      <c r="J45" s="79"/>
      <c r="K45" s="79"/>
      <c r="L45" s="79"/>
      <c r="M45" s="58"/>
      <c r="N45" s="59"/>
      <c r="O45" s="59"/>
      <c r="P45" s="59"/>
      <c r="Q45" s="59"/>
      <c r="R45" s="60"/>
      <c r="Z45" s="12" t="e">
        <f>IF(OR(AND(ROUND(AB16,2)&lt;0.4,O25="NO"),AND(J6&lt;ROUND(AB23,1),O25="NO",ROUND(AB9/AB23,2)&gt;0.2)),"Provide Discharge Damper of "&amp;ROUND(AB22,1)&amp;" Lit","")</f>
        <v>#DIV/0!</v>
      </c>
    </row>
    <row r="46" spans="1:26" ht="14.25">
      <c r="A46" s="78"/>
      <c r="B46" s="79"/>
      <c r="C46" s="79"/>
      <c r="D46" s="79"/>
      <c r="E46" s="79"/>
      <c r="F46" s="79"/>
      <c r="G46" s="79"/>
      <c r="H46" s="79"/>
      <c r="I46" s="79"/>
      <c r="J46" s="79"/>
      <c r="K46" s="79"/>
      <c r="L46" s="79"/>
      <c r="M46" s="58"/>
      <c r="N46" s="59"/>
      <c r="O46" s="59"/>
      <c r="P46" s="59"/>
      <c r="Q46" s="59"/>
      <c r="R46" s="60"/>
      <c r="U46" s="1"/>
      <c r="Z46" s="12" t="e">
        <f>IF(AND(L25="YES",N25&lt;AB20*0.95),"Increase Suction Damper Volume to "&amp;ROUND(AB20,1)&amp;" Lit","")</f>
        <v>#DIV/0!</v>
      </c>
    </row>
    <row r="47" spans="1:26" ht="14.25">
      <c r="A47" s="78"/>
      <c r="B47" s="79"/>
      <c r="C47" s="79"/>
      <c r="D47" s="79"/>
      <c r="E47" s="79"/>
      <c r="F47" s="79"/>
      <c r="G47" s="79"/>
      <c r="H47" s="79"/>
      <c r="I47" s="79"/>
      <c r="J47" s="79"/>
      <c r="K47" s="79"/>
      <c r="L47" s="79"/>
      <c r="M47" s="58"/>
      <c r="N47" s="59"/>
      <c r="O47" s="59"/>
      <c r="P47" s="59"/>
      <c r="Q47" s="59"/>
      <c r="R47" s="60"/>
      <c r="Z47" s="12" t="e">
        <f>IF(AND(O25="YES",Q25&lt;AB22*0.95),"Increase Discharge Damper Volume to "&amp;ROUND(AB22,1)&amp;" Lit","")</f>
        <v>#DIV/0!</v>
      </c>
    </row>
    <row r="48" spans="1:26" ht="14.25">
      <c r="A48" s="78"/>
      <c r="B48" s="79"/>
      <c r="C48" s="79"/>
      <c r="D48" s="79"/>
      <c r="E48" s="79"/>
      <c r="F48" s="79"/>
      <c r="G48" s="79"/>
      <c r="H48" s="79"/>
      <c r="I48" s="79"/>
      <c r="J48" s="79"/>
      <c r="K48" s="79"/>
      <c r="L48" s="79"/>
      <c r="M48" s="58"/>
      <c r="N48" s="59"/>
      <c r="O48" s="59"/>
      <c r="P48" s="59"/>
      <c r="Q48" s="59"/>
      <c r="R48" s="60"/>
      <c r="Z48" s="12" t="e">
        <f>IF(AND(O23="YES",Q23&lt;ROUND(AB14,1)),"Increase BPV Setting to "&amp;ROUND(AB14,1)&amp;" Kg/Cm Sq",IF(AND(O23="YES",AB14=0),"BPV is not required",IF(AND(O23="YES",Q23&gt;ROUND(AB14*1.05,1)),"Reduce BPV Setting to "&amp;ROUND(AB14,1)&amp;" Kg/Cm Sq","")))</f>
        <v>#DIV/0!</v>
      </c>
    </row>
    <row r="49" spans="1:26" ht="14.25">
      <c r="A49" s="78"/>
      <c r="B49" s="79"/>
      <c r="C49" s="79"/>
      <c r="D49" s="79"/>
      <c r="E49" s="79"/>
      <c r="F49" s="79"/>
      <c r="G49" s="79"/>
      <c r="H49" s="79"/>
      <c r="I49" s="79"/>
      <c r="J49" s="79"/>
      <c r="K49" s="79"/>
      <c r="L49" s="79"/>
      <c r="M49" s="58"/>
      <c r="N49" s="59"/>
      <c r="O49" s="59"/>
      <c r="P49" s="59"/>
      <c r="Q49" s="59"/>
      <c r="R49" s="60"/>
      <c r="Z49" s="12" t="e">
        <f>IF(J6&lt;ROUND(AB23,1),"Required Min Pump Disch Pr ="&amp;ROUND(AB23,1)&amp;" Kg/cm sq","")</f>
        <v>#DIV/0!</v>
      </c>
    </row>
    <row r="50" spans="1:26" ht="14.25">
      <c r="A50" s="78"/>
      <c r="B50" s="79"/>
      <c r="C50" s="79"/>
      <c r="D50" s="79"/>
      <c r="E50" s="79"/>
      <c r="F50" s="79"/>
      <c r="G50" s="79"/>
      <c r="H50" s="79"/>
      <c r="I50" s="79"/>
      <c r="J50" s="79"/>
      <c r="K50" s="79"/>
      <c r="L50" s="79"/>
      <c r="M50" s="58"/>
      <c r="N50" s="59"/>
      <c r="O50" s="59"/>
      <c r="P50" s="59"/>
      <c r="Q50" s="59"/>
      <c r="R50" s="60"/>
      <c r="Z50" s="12" t="e">
        <f>IF(O24&lt;ROUND(IF(AB23&lt;10,AB23+1,AB23*1.1),1),"Required Min SRV Set Pr = "&amp;ROUND(IF(AB23&lt;10,AB23+1,AB23*1.1),1)&amp;" Kg/cm sq","")</f>
        <v>#DIV/0!</v>
      </c>
    </row>
    <row r="51" spans="1:26" ht="14.25">
      <c r="A51" s="78"/>
      <c r="B51" s="79"/>
      <c r="C51" s="79"/>
      <c r="D51" s="79"/>
      <c r="E51" s="79"/>
      <c r="F51" s="79"/>
      <c r="G51" s="79"/>
      <c r="H51" s="79"/>
      <c r="I51" s="79"/>
      <c r="J51" s="79"/>
      <c r="K51" s="79"/>
      <c r="L51" s="79"/>
      <c r="M51" s="58"/>
      <c r="N51" s="59"/>
      <c r="O51" s="59"/>
      <c r="P51" s="59"/>
      <c r="Q51" s="59"/>
      <c r="R51" s="60"/>
      <c r="Z51" s="12">
        <f>IF(L22="NO","Suction Strainer is Mandatory","")</f>
      </c>
    </row>
    <row r="52" spans="1:18" ht="14.25">
      <c r="A52" s="78"/>
      <c r="B52" s="79"/>
      <c r="C52" s="79"/>
      <c r="D52" s="79"/>
      <c r="E52" s="79"/>
      <c r="F52" s="79"/>
      <c r="G52" s="79"/>
      <c r="H52" s="79"/>
      <c r="I52" s="79"/>
      <c r="J52" s="79"/>
      <c r="K52" s="79"/>
      <c r="L52" s="79"/>
      <c r="M52" s="58"/>
      <c r="N52" s="59"/>
      <c r="O52" s="59"/>
      <c r="P52" s="59"/>
      <c r="Q52" s="59"/>
      <c r="R52" s="60"/>
    </row>
    <row r="53" spans="1:18" ht="14.25">
      <c r="A53" s="78"/>
      <c r="B53" s="79"/>
      <c r="C53" s="79"/>
      <c r="D53" s="79"/>
      <c r="E53" s="79"/>
      <c r="F53" s="79"/>
      <c r="G53" s="79"/>
      <c r="H53" s="79"/>
      <c r="I53" s="79"/>
      <c r="J53" s="79"/>
      <c r="K53" s="79"/>
      <c r="L53" s="79"/>
      <c r="M53" s="58"/>
      <c r="N53" s="59"/>
      <c r="O53" s="59"/>
      <c r="P53" s="59"/>
      <c r="Q53" s="59"/>
      <c r="R53" s="60"/>
    </row>
    <row r="54" spans="1:18" ht="14.25">
      <c r="A54" s="78"/>
      <c r="B54" s="79"/>
      <c r="C54" s="79"/>
      <c r="D54" s="79"/>
      <c r="E54" s="79"/>
      <c r="F54" s="79"/>
      <c r="G54" s="79"/>
      <c r="H54" s="79"/>
      <c r="I54" s="79"/>
      <c r="J54" s="79"/>
      <c r="K54" s="79"/>
      <c r="L54" s="79"/>
      <c r="M54" s="58"/>
      <c r="N54" s="59"/>
      <c r="O54" s="59"/>
      <c r="P54" s="59"/>
      <c r="Q54" s="59"/>
      <c r="R54" s="60"/>
    </row>
    <row r="55" spans="1:18" ht="14.25">
      <c r="A55" s="78"/>
      <c r="B55" s="79"/>
      <c r="C55" s="79"/>
      <c r="D55" s="79"/>
      <c r="E55" s="79"/>
      <c r="F55" s="79"/>
      <c r="G55" s="79"/>
      <c r="H55" s="79"/>
      <c r="I55" s="79"/>
      <c r="J55" s="79"/>
      <c r="K55" s="79"/>
      <c r="L55" s="79"/>
      <c r="M55" s="58"/>
      <c r="N55" s="59"/>
      <c r="O55" s="59"/>
      <c r="P55" s="59"/>
      <c r="Q55" s="59"/>
      <c r="R55" s="60"/>
    </row>
    <row r="56" spans="1:26" ht="14.25">
      <c r="A56" s="78"/>
      <c r="B56" s="79"/>
      <c r="C56" s="79"/>
      <c r="D56" s="79"/>
      <c r="E56" s="79"/>
      <c r="F56" s="79"/>
      <c r="G56" s="79"/>
      <c r="H56" s="79"/>
      <c r="I56" s="79"/>
      <c r="J56" s="79"/>
      <c r="K56" s="79"/>
      <c r="L56" s="79"/>
      <c r="M56" s="58"/>
      <c r="N56" s="59"/>
      <c r="O56" s="59"/>
      <c r="P56" s="59"/>
      <c r="Q56" s="59"/>
      <c r="R56" s="60"/>
      <c r="Z56" s="12" t="e">
        <f>IF(AND(Z38="",Z39="",Z40="",Z41="",Z42="",Z43="",Z44="",Z45="",Z46="",Z47="",Z48="",Z49="",Z50="",Z51="",Z52="",Z53="",Z54="",Z55=""),"Acceptable Installation","")</f>
        <v>#DIV/0!</v>
      </c>
    </row>
    <row r="57" spans="1:18" ht="15" thickBot="1">
      <c r="A57" s="80"/>
      <c r="B57" s="81"/>
      <c r="C57" s="81"/>
      <c r="D57" s="81"/>
      <c r="E57" s="81"/>
      <c r="F57" s="81"/>
      <c r="G57" s="81"/>
      <c r="H57" s="81"/>
      <c r="I57" s="81"/>
      <c r="J57" s="81"/>
      <c r="K57" s="81"/>
      <c r="L57" s="81"/>
      <c r="M57" s="61"/>
      <c r="N57" s="62"/>
      <c r="O57" s="62"/>
      <c r="P57" s="62"/>
      <c r="Q57" s="62"/>
      <c r="R57" s="63"/>
    </row>
    <row r="58" spans="1:18" ht="14.25">
      <c r="A58" s="45" t="s">
        <v>33</v>
      </c>
      <c r="B58" s="46"/>
      <c r="C58" s="46"/>
      <c r="D58" s="46"/>
      <c r="E58" s="46"/>
      <c r="F58" s="46"/>
      <c r="G58" s="46"/>
      <c r="H58" s="46"/>
      <c r="I58" s="46"/>
      <c r="J58" s="46"/>
      <c r="K58" s="46"/>
      <c r="L58" s="46"/>
      <c r="M58" s="46"/>
      <c r="N58" s="46"/>
      <c r="O58" s="46"/>
      <c r="P58" s="46"/>
      <c r="Q58" s="46"/>
      <c r="R58" s="47"/>
    </row>
    <row r="59" spans="1:18" ht="15" customHeight="1">
      <c r="A59" s="48" t="s">
        <v>44</v>
      </c>
      <c r="B59" s="49"/>
      <c r="C59" s="49"/>
      <c r="D59" s="49"/>
      <c r="E59" s="49"/>
      <c r="F59" s="49"/>
      <c r="G59" s="49"/>
      <c r="H59" s="49"/>
      <c r="I59" s="49"/>
      <c r="J59" s="49"/>
      <c r="K59" s="49"/>
      <c r="L59" s="49"/>
      <c r="M59" s="49"/>
      <c r="N59" s="49"/>
      <c r="O59" s="49"/>
      <c r="P59" s="49"/>
      <c r="Q59" s="49"/>
      <c r="R59" s="50"/>
    </row>
    <row r="60" spans="1:18" ht="15" customHeight="1">
      <c r="A60" s="48" t="s">
        <v>45</v>
      </c>
      <c r="B60" s="49"/>
      <c r="C60" s="49"/>
      <c r="D60" s="49"/>
      <c r="E60" s="49"/>
      <c r="F60" s="49"/>
      <c r="G60" s="49"/>
      <c r="H60" s="49"/>
      <c r="I60" s="49"/>
      <c r="J60" s="49"/>
      <c r="K60" s="49"/>
      <c r="L60" s="49"/>
      <c r="M60" s="49"/>
      <c r="N60" s="49"/>
      <c r="O60" s="49"/>
      <c r="P60" s="49"/>
      <c r="Q60" s="49"/>
      <c r="R60" s="50"/>
    </row>
    <row r="61" spans="1:18" ht="15" customHeight="1">
      <c r="A61" s="48" t="s">
        <v>46</v>
      </c>
      <c r="B61" s="49"/>
      <c r="C61" s="49"/>
      <c r="D61" s="49"/>
      <c r="E61" s="49"/>
      <c r="F61" s="49"/>
      <c r="G61" s="49"/>
      <c r="H61" s="49"/>
      <c r="I61" s="49"/>
      <c r="J61" s="49"/>
      <c r="K61" s="49"/>
      <c r="L61" s="49"/>
      <c r="M61" s="49"/>
      <c r="N61" s="49"/>
      <c r="O61" s="49"/>
      <c r="P61" s="49"/>
      <c r="Q61" s="49"/>
      <c r="R61" s="50"/>
    </row>
    <row r="62" spans="1:18" ht="25.5" customHeight="1" thickBot="1">
      <c r="A62" s="51" t="s">
        <v>50</v>
      </c>
      <c r="B62" s="52"/>
      <c r="C62" s="52"/>
      <c r="D62" s="52"/>
      <c r="E62" s="52"/>
      <c r="F62" s="52"/>
      <c r="G62" s="52"/>
      <c r="H62" s="52"/>
      <c r="I62" s="53"/>
      <c r="J62" s="53"/>
      <c r="K62" s="53"/>
      <c r="L62" s="53"/>
      <c r="M62" s="53"/>
      <c r="N62" s="53"/>
      <c r="O62" s="53"/>
      <c r="P62" s="53"/>
      <c r="Q62" s="53"/>
      <c r="R62" s="54"/>
    </row>
    <row r="63" spans="2:8" ht="15">
      <c r="B63" s="55" t="s">
        <v>90</v>
      </c>
      <c r="C63" s="56"/>
      <c r="D63" s="56"/>
      <c r="E63" s="56"/>
      <c r="F63" s="56"/>
      <c r="G63" s="56"/>
      <c r="H63" s="57"/>
    </row>
    <row r="64" spans="2:8" ht="14.25">
      <c r="B64" s="4"/>
      <c r="C64" s="43" t="s">
        <v>85</v>
      </c>
      <c r="D64" s="43"/>
      <c r="E64" s="43"/>
      <c r="F64" s="2" t="s">
        <v>96</v>
      </c>
      <c r="G64" s="3"/>
      <c r="H64" s="5"/>
    </row>
    <row r="65" spans="2:8" ht="14.25">
      <c r="B65" s="4"/>
      <c r="C65" s="43" t="s">
        <v>86</v>
      </c>
      <c r="D65" s="43"/>
      <c r="E65" s="43"/>
      <c r="F65" s="2"/>
      <c r="G65" s="3"/>
      <c r="H65" s="5"/>
    </row>
    <row r="66" spans="2:8" ht="14.25">
      <c r="B66" s="4"/>
      <c r="C66" s="43" t="s">
        <v>87</v>
      </c>
      <c r="D66" s="43"/>
      <c r="E66" s="43"/>
      <c r="F66" s="2"/>
      <c r="G66" s="3"/>
      <c r="H66" s="5"/>
    </row>
    <row r="67" spans="2:8" ht="14.25">
      <c r="B67" s="4"/>
      <c r="C67" s="43" t="s">
        <v>88</v>
      </c>
      <c r="D67" s="43"/>
      <c r="E67" s="43"/>
      <c r="F67" s="2"/>
      <c r="G67" s="3"/>
      <c r="H67" s="5"/>
    </row>
    <row r="68" spans="2:8" ht="14.25">
      <c r="B68" s="4"/>
      <c r="C68" s="43" t="s">
        <v>89</v>
      </c>
      <c r="D68" s="43"/>
      <c r="E68" s="43"/>
      <c r="F68" s="2"/>
      <c r="G68" s="3"/>
      <c r="H68" s="5"/>
    </row>
    <row r="69" spans="2:8" ht="15" thickBot="1">
      <c r="B69" s="6"/>
      <c r="C69" s="44" t="s">
        <v>91</v>
      </c>
      <c r="D69" s="44"/>
      <c r="E69" s="44"/>
      <c r="F69" s="7" t="str">
        <f>IF(AND(F64="Yes",F67&gt;0,F68&gt;0),"Yes","No")</f>
        <v>No</v>
      </c>
      <c r="G69" s="8"/>
      <c r="H69" s="9"/>
    </row>
  </sheetData>
  <sheetProtection password="C699" sheet="1" objects="1" scenarios="1" selectLockedCells="1"/>
  <mergeCells count="164">
    <mergeCell ref="C64:E64"/>
    <mergeCell ref="C65:E65"/>
    <mergeCell ref="C66:E66"/>
    <mergeCell ref="C67:E67"/>
    <mergeCell ref="C68:E68"/>
    <mergeCell ref="C69:E69"/>
    <mergeCell ref="A58:R58"/>
    <mergeCell ref="A59:R59"/>
    <mergeCell ref="A60:R60"/>
    <mergeCell ref="A61:R61"/>
    <mergeCell ref="A62:R62"/>
    <mergeCell ref="B63:H63"/>
    <mergeCell ref="M52:R52"/>
    <mergeCell ref="M53:R53"/>
    <mergeCell ref="M54:R54"/>
    <mergeCell ref="M55:R55"/>
    <mergeCell ref="M56:R56"/>
    <mergeCell ref="M57:R57"/>
    <mergeCell ref="M46:R46"/>
    <mergeCell ref="M47:R47"/>
    <mergeCell ref="M48:R48"/>
    <mergeCell ref="M49:R49"/>
    <mergeCell ref="M50:R50"/>
    <mergeCell ref="M51:R51"/>
    <mergeCell ref="M40:R40"/>
    <mergeCell ref="M41:R41"/>
    <mergeCell ref="M42:R42"/>
    <mergeCell ref="M43:R43"/>
    <mergeCell ref="M44:R44"/>
    <mergeCell ref="M45:R45"/>
    <mergeCell ref="B33:C33"/>
    <mergeCell ref="D33:R33"/>
    <mergeCell ref="B34:C34"/>
    <mergeCell ref="D34:R34"/>
    <mergeCell ref="A35:L57"/>
    <mergeCell ref="M35:R35"/>
    <mergeCell ref="M36:R36"/>
    <mergeCell ref="M37:R37"/>
    <mergeCell ref="M38:R38"/>
    <mergeCell ref="M39:R39"/>
    <mergeCell ref="B31:C31"/>
    <mergeCell ref="F31:H31"/>
    <mergeCell ref="I31:K31"/>
    <mergeCell ref="L31:M31"/>
    <mergeCell ref="N31:R31"/>
    <mergeCell ref="B32:C32"/>
    <mergeCell ref="F32:H32"/>
    <mergeCell ref="I32:K32"/>
    <mergeCell ref="L32:M32"/>
    <mergeCell ref="N32:R32"/>
    <mergeCell ref="B29:C29"/>
    <mergeCell ref="F29:H29"/>
    <mergeCell ref="I29:K29"/>
    <mergeCell ref="L29:M29"/>
    <mergeCell ref="N29:R29"/>
    <mergeCell ref="B30:C30"/>
    <mergeCell ref="F30:H30"/>
    <mergeCell ref="I30:K30"/>
    <mergeCell ref="L30:M30"/>
    <mergeCell ref="N30:R30"/>
    <mergeCell ref="B27:C27"/>
    <mergeCell ref="F27:H27"/>
    <mergeCell ref="I27:K27"/>
    <mergeCell ref="L27:M27"/>
    <mergeCell ref="N27:R27"/>
    <mergeCell ref="B28:C28"/>
    <mergeCell ref="F28:H28"/>
    <mergeCell ref="I28:K28"/>
    <mergeCell ref="L28:M28"/>
    <mergeCell ref="N28:R28"/>
    <mergeCell ref="B25:F25"/>
    <mergeCell ref="H25:K25"/>
    <mergeCell ref="L25:M25"/>
    <mergeCell ref="O25:P25"/>
    <mergeCell ref="Q25:R25"/>
    <mergeCell ref="B26:C26"/>
    <mergeCell ref="D26:H26"/>
    <mergeCell ref="I26:R26"/>
    <mergeCell ref="B23:K23"/>
    <mergeCell ref="L23:N23"/>
    <mergeCell ref="O23:P23"/>
    <mergeCell ref="Q23:R23"/>
    <mergeCell ref="B24:K24"/>
    <mergeCell ref="L24:N24"/>
    <mergeCell ref="O24:R24"/>
    <mergeCell ref="B21:K21"/>
    <mergeCell ref="L21:N21"/>
    <mergeCell ref="O21:R21"/>
    <mergeCell ref="B22:K22"/>
    <mergeCell ref="L22:N22"/>
    <mergeCell ref="O22:R22"/>
    <mergeCell ref="B19:K19"/>
    <mergeCell ref="L19:N19"/>
    <mergeCell ref="O19:R19"/>
    <mergeCell ref="B20:K20"/>
    <mergeCell ref="M20:N20"/>
    <mergeCell ref="P20:R20"/>
    <mergeCell ref="A16:R16"/>
    <mergeCell ref="A17:K17"/>
    <mergeCell ref="L17:N17"/>
    <mergeCell ref="O17:R17"/>
    <mergeCell ref="B18:K18"/>
    <mergeCell ref="L18:N18"/>
    <mergeCell ref="O18:R18"/>
    <mergeCell ref="B14:E14"/>
    <mergeCell ref="F14:I14"/>
    <mergeCell ref="K14:M14"/>
    <mergeCell ref="N14:R14"/>
    <mergeCell ref="B15:E15"/>
    <mergeCell ref="F15:G15"/>
    <mergeCell ref="H15:I15"/>
    <mergeCell ref="K15:M15"/>
    <mergeCell ref="N15:R15"/>
    <mergeCell ref="B12:E12"/>
    <mergeCell ref="F12:I12"/>
    <mergeCell ref="K12:M12"/>
    <mergeCell ref="N12:R12"/>
    <mergeCell ref="B13:E13"/>
    <mergeCell ref="F13:I13"/>
    <mergeCell ref="K13:M13"/>
    <mergeCell ref="N13:R13"/>
    <mergeCell ref="A9:R9"/>
    <mergeCell ref="A10:R10"/>
    <mergeCell ref="B11:E11"/>
    <mergeCell ref="F11:I11"/>
    <mergeCell ref="K11:M11"/>
    <mergeCell ref="N11:R11"/>
    <mergeCell ref="B8:C8"/>
    <mergeCell ref="D8:F8"/>
    <mergeCell ref="H8:I8"/>
    <mergeCell ref="J8:M8"/>
    <mergeCell ref="N8:O8"/>
    <mergeCell ref="P8:Q8"/>
    <mergeCell ref="B7:C7"/>
    <mergeCell ref="D7:F7"/>
    <mergeCell ref="H7:I7"/>
    <mergeCell ref="J7:M7"/>
    <mergeCell ref="N7:O7"/>
    <mergeCell ref="P7:Q7"/>
    <mergeCell ref="B6:C6"/>
    <mergeCell ref="D6:F6"/>
    <mergeCell ref="H6:I6"/>
    <mergeCell ref="J6:M6"/>
    <mergeCell ref="N6:O6"/>
    <mergeCell ref="P6:Q6"/>
    <mergeCell ref="A4:C4"/>
    <mergeCell ref="D4:R4"/>
    <mergeCell ref="Z4:AB4"/>
    <mergeCell ref="AC4:AD4"/>
    <mergeCell ref="B5:C5"/>
    <mergeCell ref="D5:F5"/>
    <mergeCell ref="H5:I5"/>
    <mergeCell ref="J5:O5"/>
    <mergeCell ref="P5:Q5"/>
    <mergeCell ref="A1:C3"/>
    <mergeCell ref="D1:I1"/>
    <mergeCell ref="J1:N1"/>
    <mergeCell ref="O1:R1"/>
    <mergeCell ref="D2:I2"/>
    <mergeCell ref="J2:N2"/>
    <mergeCell ref="O2:R2"/>
    <mergeCell ref="D3:I3"/>
    <mergeCell ref="J3:N3"/>
    <mergeCell ref="O3:R3"/>
  </mergeCells>
  <conditionalFormatting sqref="AB12">
    <cfRule type="cellIs" priority="4" dxfId="96" operator="lessThan">
      <formula>0.1</formula>
    </cfRule>
  </conditionalFormatting>
  <conditionalFormatting sqref="AB16">
    <cfRule type="cellIs" priority="3" dxfId="96" operator="lessThan">
      <formula>0.4</formula>
    </cfRule>
  </conditionalFormatting>
  <conditionalFormatting sqref="AB23">
    <cfRule type="cellIs" priority="2" dxfId="96" operator="greaterThan">
      <formula>$J$6</formula>
    </cfRule>
  </conditionalFormatting>
  <conditionalFormatting sqref="F12">
    <cfRule type="cellIs" priority="1" dxfId="96" operator="greaterThan">
      <formula>90</formula>
    </cfRule>
  </conditionalFormatting>
  <conditionalFormatting sqref="A15:E15 J15:M15">
    <cfRule type="expression" priority="5" dxfId="97" stopIfTrue="1">
      <formula>$N$14="NO"</formula>
    </cfRule>
  </conditionalFormatting>
  <conditionalFormatting sqref="F13:I13 N11:R11">
    <cfRule type="cellIs" priority="6" dxfId="98" operator="greaterThan" stopIfTrue="1">
      <formula>200</formula>
    </cfRule>
  </conditionalFormatting>
  <conditionalFormatting sqref="N13:R13">
    <cfRule type="cellIs" priority="7" dxfId="98" operator="greaterThan" stopIfTrue="1">
      <formula>2</formula>
    </cfRule>
  </conditionalFormatting>
  <conditionalFormatting sqref="N14:R14">
    <cfRule type="cellIs" priority="8" dxfId="98" operator="equal" stopIfTrue="1">
      <formula>"YES"</formula>
    </cfRule>
  </conditionalFormatting>
  <conditionalFormatting sqref="H15:I15">
    <cfRule type="expression" priority="9" dxfId="97" stopIfTrue="1">
      <formula>$N$14="NO"</formula>
    </cfRule>
    <cfRule type="cellIs" priority="10" dxfId="98" operator="greaterThan" stopIfTrue="1">
      <formula>5</formula>
    </cfRule>
  </conditionalFormatting>
  <conditionalFormatting sqref="F15:G15">
    <cfRule type="expression" priority="11" dxfId="97" stopIfTrue="1">
      <formula>$N$14="NO"</formula>
    </cfRule>
    <cfRule type="cellIs" priority="12" dxfId="98" operator="greaterThan" stopIfTrue="1">
      <formula>50</formula>
    </cfRule>
  </conditionalFormatting>
  <conditionalFormatting sqref="N15:R15">
    <cfRule type="expression" priority="13" dxfId="97" stopIfTrue="1">
      <formula>$N$14="NO"</formula>
    </cfRule>
    <cfRule type="cellIs" priority="14" dxfId="98" operator="equal" stopIfTrue="1">
      <formula>"YES"</formula>
    </cfRule>
  </conditionalFormatting>
  <conditionalFormatting sqref="L18:R18">
    <cfRule type="cellIs" priority="15" dxfId="98" operator="lessThan" stopIfTrue="1">
      <formula>1</formula>
    </cfRule>
  </conditionalFormatting>
  <conditionalFormatting sqref="L20 O20">
    <cfRule type="cellIs" priority="16" dxfId="98" operator="equal" stopIfTrue="1">
      <formula>"-"</formula>
    </cfRule>
  </conditionalFormatting>
  <dataValidations count="25">
    <dataValidation type="decimal" showErrorMessage="1" errorTitle="SHAPOTOOLS" error="ENTER VALUE GREATER THAN SUCTION STATIC HEAD BELOW AND LESS THAN 50" sqref="L19">
      <formula1>M20</formula1>
      <formula2>50</formula2>
    </dataValidation>
    <dataValidation type="decimal" showErrorMessage="1" errorTitle="SHAPOTOOLS" error="ENTER VALUE GREATER THAN DISCHARGE STATIC HEAD BELOW &amp; LESS THAN 10000" sqref="O19">
      <formula1>P20</formula1>
      <formula2>10000</formula2>
    </dataValidation>
    <dataValidation type="decimal" showErrorMessage="1" errorTitle="SHAPOTOOLS" error="ENTER VALUE HIGHER THAN 0 AND LESS THAN TOTAL SUCTION  PIPE LENGTH ABOVE" sqref="M20">
      <formula1>0</formula1>
      <formula2>L19</formula2>
    </dataValidation>
    <dataValidation type="decimal" showErrorMessage="1" errorTitle="SHAPOTOOLS" error="ENTER VALUE HIGHER THAN 0 AND LESS THAN TOTAL DISCHARGE PIPE LENGTH ABOVE" sqref="P20">
      <formula1>0</formula1>
      <formula2>O19</formula2>
    </dataValidation>
    <dataValidation type="list" allowBlank="1" showErrorMessage="1" errorTitle="SHAPOTOOLS" error="ENTER YES OR NO" sqref="N15:R15 L25:M25 O25">
      <formula1>"YES,NO"</formula1>
    </dataValidation>
    <dataValidation type="list" showErrorMessage="1" errorTitle="SHAPOTOOLS" error="ENTER POSITIVE OR NEGATIVE" sqref="L20 O20">
      <formula1>"+,-"</formula1>
    </dataValidation>
    <dataValidation type="list" showErrorMessage="1" errorTitle="SHAPOTOOLS" error="ENTER YES OR NO" sqref="O23 L22 N14">
      <formula1>"YES,NO"</formula1>
    </dataValidation>
    <dataValidation type="list" showErrorMessage="1" errorTitle="SHAPOTOOLS" error="PLEASE SELECT PIPE NB" sqref="L21 O21">
      <formula1>"15,20,25,40,50,65,80,100,125,150"</formula1>
    </dataValidation>
    <dataValidation type="decimal" showErrorMessage="1" errorTitle="SHAPOTOOLS" error="ENTER VALUE BETWEEN 0 TO 5000" sqref="F13:I13">
      <formula1>0</formula1>
      <formula2>5000</formula2>
    </dataValidation>
    <dataValidation type="decimal" operator="greaterThanOrEqual" showErrorMessage="1" errorTitle="SHAPOTOOLS" error="ENTER VALUE BETWEEN 0 TO 5000" sqref="F15:G15">
      <formula1>0</formula1>
    </dataValidation>
    <dataValidation type="decimal" showErrorMessage="1" errorTitle="SHAPOTOOLS" error="ENTER VALUE BETWEEN 0 TO 100" sqref="H15:I15">
      <formula1>0</formula1>
      <formula2>100</formula2>
    </dataValidation>
    <dataValidation type="decimal" showErrorMessage="1" errorTitle="SHAPOTOOLS" error="ENTER VALUE BETWEEN 0 TO 1000000" sqref="N11:R11">
      <formula1>0</formula1>
      <formula2>100000</formula2>
    </dataValidation>
    <dataValidation type="decimal" showErrorMessage="1" errorTitle="SHAPOTOOLS" error="ENTER VALUE BETWEEN -50 TO +500" sqref="N12:R12 F12">
      <formula1>-50</formula1>
      <formula2>500</formula2>
    </dataValidation>
    <dataValidation type="decimal" showErrorMessage="1" errorTitle="SHAPOTOOLS" error="ENTER VALUE BETWEEN 0.2 TO 23" sqref="N13">
      <formula1>0.2</formula1>
      <formula2>23</formula2>
    </dataValidation>
    <dataValidation type="decimal" showErrorMessage="1" errorTitle="SHAPOTOOLS" error="ENTER VALUE BETWEEN 0 TO 500" sqref="L18:R18">
      <formula1>0</formula1>
      <formula2>500</formula2>
    </dataValidation>
    <dataValidation type="list" allowBlank="1" showInputMessage="1" errorTitle="SHAPOTOOLS" error="ENTER VALUE BETWEEN 0.1 TO 100" sqref="N25">
      <formula1>$AB$20:$AC$20</formula1>
    </dataValidation>
    <dataValidation type="decimal" showErrorMessage="1" errorTitle="SHAPOTOOLS" error="ENTER VALUE BETWEEN 0.1 TO 20000" sqref="D6">
      <formula1>0.1</formula1>
      <formula2>20000</formula2>
    </dataValidation>
    <dataValidation type="decimal" showErrorMessage="1" errorTitle="SHAPOTOOLS" error="ENTER VALUE BETWEEN 20 TO 300" sqref="D8">
      <formula1>20</formula1>
      <formula2>300</formula2>
    </dataValidation>
    <dataValidation type="decimal" allowBlank="1" showErrorMessage="1" errorTitle="SHAPOTOOLS" error="ENTER VALUE BETWEEN 0 TO 50" sqref="D33:R33">
      <formula1>0</formula1>
      <formula2>50</formula2>
    </dataValidation>
    <dataValidation type="whole" showInputMessage="1" showErrorMessage="1" sqref="U26">
      <formula1>0</formula1>
      <formula2>10</formula2>
    </dataValidation>
    <dataValidation type="decimal" showErrorMessage="1" errorTitle="SHAPOTOOLS" error="ENTER VALUE BETWEEN -1 TO 500" sqref="J6">
      <formula1>-1</formula1>
      <formula2>500</formula2>
    </dataValidation>
    <dataValidation type="list" allowBlank="1" showErrorMessage="1" errorTitle="SHAPOTOOLS" error="ENTERVALUE BETWEEN 1 AND 50" sqref="Q23:R23">
      <formula1>$AC$14:$AD$14</formula1>
    </dataValidation>
    <dataValidation type="list" allowBlank="1" sqref="Q25:R25">
      <formula1>$AB$22:$AC$22</formula1>
    </dataValidation>
    <dataValidation allowBlank="1" showInputMessage="1" sqref="O22:R22"/>
    <dataValidation type="list" allowBlank="1" sqref="O24:R24">
      <formula1>$Z$25:$Z$26</formula1>
    </dataValidation>
  </dataValidations>
  <printOptions/>
  <pageMargins left="0.7" right="0.7" top="0.75" bottom="0.75" header="0.3" footer="0.3"/>
  <pageSetup fitToHeight="1" fitToWidth="1" horizontalDpi="600" verticalDpi="600" orientation="portrait" paperSize="9" scale="69" r:id="rId5"/>
  <drawing r:id="rId4"/>
  <legacyDrawing r:id="rId3"/>
  <oleObjects>
    <oleObject progId="MSWordArt.2" shapeId="18182651" r:id="rId1"/>
    <oleObject progId="HarvardFX" shapeId="18182652" r:id="rId2"/>
  </oleObjects>
</worksheet>
</file>

<file path=xl/worksheets/sheet4.xml><?xml version="1.0" encoding="utf-8"?>
<worksheet xmlns="http://schemas.openxmlformats.org/spreadsheetml/2006/main" xmlns:r="http://schemas.openxmlformats.org/officeDocument/2006/relationships">
  <sheetPr codeName="Sheet8">
    <pageSetUpPr fitToPage="1"/>
  </sheetPr>
  <dimension ref="A1:AG69"/>
  <sheetViews>
    <sheetView zoomScale="80" zoomScaleNormal="80" zoomScalePageLayoutView="0" workbookViewId="0" topLeftCell="A1">
      <selection activeCell="D4" sqref="D4:R4"/>
    </sheetView>
  </sheetViews>
  <sheetFormatPr defaultColWidth="9.140625" defaultRowHeight="15"/>
  <cols>
    <col min="1" max="1" width="3.7109375" style="0" customWidth="1"/>
    <col min="3" max="3" width="4.57421875" style="0" customWidth="1"/>
    <col min="6" max="6" width="9.7109375" style="0" customWidth="1"/>
    <col min="7" max="7" width="2.7109375" style="0" customWidth="1"/>
    <col min="8" max="8" width="15.28125" style="0" customWidth="1"/>
    <col min="9" max="9" width="3.00390625" style="0" customWidth="1"/>
    <col min="10" max="10" width="3.7109375" style="0" customWidth="1"/>
    <col min="12" max="12" width="4.7109375" style="0" customWidth="1"/>
    <col min="13" max="13" width="10.28125" style="0" customWidth="1"/>
    <col min="14" max="14" width="8.7109375" style="0" customWidth="1"/>
    <col min="15" max="15" width="4.421875" style="0" customWidth="1"/>
    <col min="16" max="16" width="6.28125" style="0" customWidth="1"/>
    <col min="17" max="17" width="4.57421875" style="0" customWidth="1"/>
    <col min="18" max="18" width="8.28125" style="0" customWidth="1"/>
    <col min="20" max="20" width="13.7109375" style="0" customWidth="1"/>
    <col min="21" max="21" width="20.00390625" style="0" customWidth="1"/>
    <col min="26" max="26" width="9.28125" style="12" hidden="1" customWidth="1"/>
    <col min="27" max="27" width="24.421875" style="12" hidden="1" customWidth="1"/>
    <col min="28" max="31" width="9.28125" style="12" hidden="1" customWidth="1"/>
    <col min="32" max="32" width="15.28125" style="12" hidden="1" customWidth="1"/>
    <col min="33" max="33" width="9.28125" style="12" hidden="1" customWidth="1"/>
    <col min="34" max="35" width="9.28125" style="0" customWidth="1"/>
  </cols>
  <sheetData>
    <row r="1" spans="1:31" ht="23.25" customHeight="1">
      <c r="A1" s="143"/>
      <c r="B1" s="144"/>
      <c r="C1" s="144"/>
      <c r="D1" s="150" t="s">
        <v>0</v>
      </c>
      <c r="E1" s="150"/>
      <c r="F1" s="150"/>
      <c r="G1" s="150"/>
      <c r="H1" s="150"/>
      <c r="I1" s="150"/>
      <c r="J1" s="151" t="s">
        <v>38</v>
      </c>
      <c r="K1" s="151"/>
      <c r="L1" s="151"/>
      <c r="M1" s="151"/>
      <c r="N1" s="151"/>
      <c r="O1" s="152" t="s">
        <v>64</v>
      </c>
      <c r="P1" s="152"/>
      <c r="Q1" s="152"/>
      <c r="R1" s="153"/>
      <c r="T1" s="11"/>
      <c r="U1" s="24">
        <v>44782</v>
      </c>
      <c r="Z1" s="12" t="s">
        <v>55</v>
      </c>
      <c r="AB1" s="23">
        <v>0</v>
      </c>
      <c r="AC1" s="23">
        <v>1.5</v>
      </c>
      <c r="AE1" s="23">
        <v>0.69</v>
      </c>
    </row>
    <row r="2" spans="1:30" ht="15" customHeight="1">
      <c r="A2" s="145"/>
      <c r="B2" s="146"/>
      <c r="C2" s="147"/>
      <c r="D2" s="154" t="s">
        <v>112</v>
      </c>
      <c r="E2" s="155"/>
      <c r="F2" s="155"/>
      <c r="G2" s="155"/>
      <c r="H2" s="155"/>
      <c r="I2" s="155"/>
      <c r="J2" s="156" t="s">
        <v>1</v>
      </c>
      <c r="K2" s="157"/>
      <c r="L2" s="157"/>
      <c r="M2" s="157"/>
      <c r="N2" s="158"/>
      <c r="O2" s="159" t="s">
        <v>63</v>
      </c>
      <c r="P2" s="159"/>
      <c r="Q2" s="159"/>
      <c r="R2" s="160"/>
      <c r="U2" s="10"/>
      <c r="Z2" s="12" t="s">
        <v>56</v>
      </c>
      <c r="AB2" s="23">
        <v>0</v>
      </c>
      <c r="AC2" s="13"/>
      <c r="AD2" s="13"/>
    </row>
    <row r="3" spans="1:29" ht="15" customHeight="1" thickBot="1">
      <c r="A3" s="148"/>
      <c r="B3" s="149"/>
      <c r="C3" s="149"/>
      <c r="D3" s="161" t="s">
        <v>113</v>
      </c>
      <c r="E3" s="161"/>
      <c r="F3" s="161"/>
      <c r="G3" s="161"/>
      <c r="H3" s="161"/>
      <c r="I3" s="161"/>
      <c r="J3" s="162" t="s">
        <v>34</v>
      </c>
      <c r="K3" s="162"/>
      <c r="L3" s="162"/>
      <c r="M3" s="162"/>
      <c r="N3" s="162"/>
      <c r="O3" s="163" t="s">
        <v>37</v>
      </c>
      <c r="P3" s="163"/>
      <c r="Q3" s="163"/>
      <c r="R3" s="164"/>
      <c r="Z3" s="12" t="s">
        <v>57</v>
      </c>
      <c r="AB3" s="14">
        <f>N13*AB1*D8*D8*AB2*AB2/AC1/10000000</f>
        <v>0</v>
      </c>
      <c r="AC3" s="15" t="s">
        <v>53</v>
      </c>
    </row>
    <row r="4" spans="1:33" ht="15.75" customHeight="1">
      <c r="A4" s="136" t="s">
        <v>35</v>
      </c>
      <c r="B4" s="137"/>
      <c r="C4" s="137"/>
      <c r="D4" s="138"/>
      <c r="E4" s="139"/>
      <c r="F4" s="139"/>
      <c r="G4" s="139"/>
      <c r="H4" s="139"/>
      <c r="I4" s="139"/>
      <c r="J4" s="139"/>
      <c r="K4" s="139"/>
      <c r="L4" s="139"/>
      <c r="M4" s="139"/>
      <c r="N4" s="139"/>
      <c r="O4" s="139"/>
      <c r="P4" s="139"/>
      <c r="Q4" s="139"/>
      <c r="R4" s="140"/>
      <c r="Z4" s="141"/>
      <c r="AA4" s="141"/>
      <c r="AB4" s="141"/>
      <c r="AC4" s="141" t="s">
        <v>54</v>
      </c>
      <c r="AD4" s="141"/>
      <c r="AF4" s="12" t="s">
        <v>103</v>
      </c>
      <c r="AG4" s="12">
        <f>IF(ISERR(FIND(AF4,UPPER($J$5),1))=FALSE,0.35,0.15)</f>
        <v>0.15</v>
      </c>
    </row>
    <row r="5" spans="1:33" ht="15" customHeight="1">
      <c r="A5" s="28">
        <v>1</v>
      </c>
      <c r="B5" s="115" t="s">
        <v>52</v>
      </c>
      <c r="C5" s="115"/>
      <c r="D5" s="87"/>
      <c r="E5" s="87"/>
      <c r="F5" s="87"/>
      <c r="G5" s="29">
        <v>2</v>
      </c>
      <c r="H5" s="115" t="s">
        <v>47</v>
      </c>
      <c r="I5" s="115"/>
      <c r="J5" s="69"/>
      <c r="K5" s="70"/>
      <c r="L5" s="70"/>
      <c r="M5" s="70"/>
      <c r="N5" s="70"/>
      <c r="O5" s="123"/>
      <c r="P5" s="142" t="s">
        <v>3</v>
      </c>
      <c r="Q5" s="142"/>
      <c r="R5" s="30"/>
      <c r="U5" s="10"/>
      <c r="Z5" s="12" t="s">
        <v>58</v>
      </c>
      <c r="AB5" s="16">
        <f>AG10</f>
        <v>0.15</v>
      </c>
      <c r="AD5" s="27"/>
      <c r="AF5" s="12" t="s">
        <v>99</v>
      </c>
      <c r="AG5" s="12">
        <f>IF(ISERR(FIND(AF5,UPPER($J$5),1))=FALSE,0.15,0)</f>
        <v>0</v>
      </c>
    </row>
    <row r="6" spans="1:33" ht="15.75" customHeight="1">
      <c r="A6" s="28">
        <v>2</v>
      </c>
      <c r="B6" s="115" t="s">
        <v>4</v>
      </c>
      <c r="C6" s="115"/>
      <c r="D6" s="69"/>
      <c r="E6" s="70"/>
      <c r="F6" s="123"/>
      <c r="G6" s="29">
        <v>4</v>
      </c>
      <c r="H6" s="115" t="s">
        <v>84</v>
      </c>
      <c r="I6" s="115"/>
      <c r="J6" s="133"/>
      <c r="K6" s="134"/>
      <c r="L6" s="134"/>
      <c r="M6" s="135"/>
      <c r="N6" s="94" t="s">
        <v>5</v>
      </c>
      <c r="O6" s="94"/>
      <c r="P6" s="94" t="s">
        <v>6</v>
      </c>
      <c r="Q6" s="94"/>
      <c r="R6" s="31" t="s">
        <v>7</v>
      </c>
      <c r="U6" s="10"/>
      <c r="Z6" s="12" t="s">
        <v>68</v>
      </c>
      <c r="AB6" s="17" t="e">
        <f>AB3*L19/L21/L21</f>
        <v>#DIV/0!</v>
      </c>
      <c r="AF6" s="12" t="s">
        <v>101</v>
      </c>
      <c r="AG6" s="12">
        <f>IF(ISERR(FIND(AF6,UPPER($J$5),1))=FALSE,IF(AND(ISERR(FIND("SD",UPPER($J$5),1))=FALSE,ISERR(FIND("SDO",UPPER($J$5),1))=TRUE),0.05,0.1),0)</f>
        <v>0</v>
      </c>
    </row>
    <row r="7" spans="1:33" ht="14.25">
      <c r="A7" s="28">
        <v>5</v>
      </c>
      <c r="B7" s="115" t="s">
        <v>36</v>
      </c>
      <c r="C7" s="115"/>
      <c r="D7" s="87"/>
      <c r="E7" s="87"/>
      <c r="F7" s="87"/>
      <c r="G7" s="29">
        <v>6</v>
      </c>
      <c r="H7" s="115" t="s">
        <v>2</v>
      </c>
      <c r="I7" s="115"/>
      <c r="J7" s="87"/>
      <c r="K7" s="87"/>
      <c r="L7" s="87"/>
      <c r="M7" s="87"/>
      <c r="N7" s="88"/>
      <c r="O7" s="88"/>
      <c r="P7" s="88"/>
      <c r="Q7" s="88"/>
      <c r="R7" s="33"/>
      <c r="U7" s="10"/>
      <c r="Z7" s="12" t="s">
        <v>69</v>
      </c>
      <c r="AB7" s="17" t="e">
        <f>AB3*O19/O21/O21</f>
        <v>#DIV/0!</v>
      </c>
      <c r="AF7" s="12" t="s">
        <v>100</v>
      </c>
      <c r="AG7" s="12">
        <f>IF(ISERR(FIND(AF7,UPPER($J$5),1))=FALSE,0.1,0)</f>
        <v>0</v>
      </c>
    </row>
    <row r="8" spans="1:33" ht="15" customHeight="1" thickBot="1">
      <c r="A8" s="34">
        <v>7</v>
      </c>
      <c r="B8" s="131" t="s">
        <v>8</v>
      </c>
      <c r="C8" s="131"/>
      <c r="D8" s="119"/>
      <c r="E8" s="74"/>
      <c r="F8" s="120"/>
      <c r="G8" s="35">
        <v>8</v>
      </c>
      <c r="H8" s="131" t="s">
        <v>9</v>
      </c>
      <c r="I8" s="131"/>
      <c r="J8" s="121"/>
      <c r="K8" s="121"/>
      <c r="L8" s="121"/>
      <c r="M8" s="121"/>
      <c r="N8" s="132"/>
      <c r="O8" s="132"/>
      <c r="P8" s="132"/>
      <c r="Q8" s="132"/>
      <c r="R8" s="36"/>
      <c r="Z8" s="12" t="s">
        <v>60</v>
      </c>
      <c r="AB8" s="17" t="e">
        <f>AB6*IF(L25="NO",1,AB19/0.3/100)</f>
        <v>#DIV/0!</v>
      </c>
      <c r="AF8" s="12" t="s">
        <v>98</v>
      </c>
      <c r="AG8" s="12">
        <f>IF(AND(ISERR(FIND("SD",UPPER($J$5),1))=FALSE,ISERR(FIND("SDO",UPPER($J$5),1))=TRUE),0.05,0)</f>
        <v>0</v>
      </c>
    </row>
    <row r="9" spans="1:33" ht="15.75" thickBot="1">
      <c r="A9" s="125" t="s">
        <v>10</v>
      </c>
      <c r="B9" s="126"/>
      <c r="C9" s="126"/>
      <c r="D9" s="126"/>
      <c r="E9" s="126"/>
      <c r="F9" s="126"/>
      <c r="G9" s="126"/>
      <c r="H9" s="126"/>
      <c r="I9" s="126"/>
      <c r="J9" s="126"/>
      <c r="K9" s="126"/>
      <c r="L9" s="126"/>
      <c r="M9" s="126"/>
      <c r="N9" s="126"/>
      <c r="O9" s="126"/>
      <c r="P9" s="126"/>
      <c r="Q9" s="126"/>
      <c r="R9" s="127"/>
      <c r="Z9" s="12" t="s">
        <v>61</v>
      </c>
      <c r="AB9" s="17" t="e">
        <f>AB7*IF(O25="NO",1,AB21/0.3/100)</f>
        <v>#DIV/0!</v>
      </c>
      <c r="AF9" s="12" t="s">
        <v>97</v>
      </c>
      <c r="AG9" s="12">
        <f>IF(ISERR(FIND(AF9,UPPER($J$5),1))=FALSE,0.1,0)</f>
        <v>0</v>
      </c>
    </row>
    <row r="10" spans="1:33" ht="14.25">
      <c r="A10" s="128" t="s">
        <v>39</v>
      </c>
      <c r="B10" s="129"/>
      <c r="C10" s="129"/>
      <c r="D10" s="129"/>
      <c r="E10" s="129"/>
      <c r="F10" s="129"/>
      <c r="G10" s="129"/>
      <c r="H10" s="129"/>
      <c r="I10" s="129"/>
      <c r="J10" s="129"/>
      <c r="K10" s="129"/>
      <c r="L10" s="129"/>
      <c r="M10" s="129"/>
      <c r="N10" s="129"/>
      <c r="O10" s="129"/>
      <c r="P10" s="129"/>
      <c r="Q10" s="129"/>
      <c r="R10" s="130"/>
      <c r="Z10" s="12" t="s">
        <v>59</v>
      </c>
      <c r="AB10" s="17" t="e">
        <f>AB8+AB5</f>
        <v>#DIV/0!</v>
      </c>
      <c r="AF10" s="12" t="s">
        <v>102</v>
      </c>
      <c r="AG10" s="12">
        <f>AG4-AG5-AG6+AG7+AG8-AG9</f>
        <v>0.15</v>
      </c>
    </row>
    <row r="11" spans="1:28" ht="15" customHeight="1">
      <c r="A11" s="28">
        <v>9</v>
      </c>
      <c r="B11" s="115" t="s">
        <v>41</v>
      </c>
      <c r="C11" s="115"/>
      <c r="D11" s="115"/>
      <c r="E11" s="115"/>
      <c r="F11" s="87"/>
      <c r="G11" s="87"/>
      <c r="H11" s="87"/>
      <c r="I11" s="87"/>
      <c r="J11" s="29">
        <v>10</v>
      </c>
      <c r="K11" s="115" t="s">
        <v>81</v>
      </c>
      <c r="L11" s="115"/>
      <c r="M11" s="115"/>
      <c r="N11" s="87"/>
      <c r="O11" s="87"/>
      <c r="P11" s="87"/>
      <c r="Q11" s="87"/>
      <c r="R11" s="124"/>
      <c r="Z11" s="12" t="s">
        <v>62</v>
      </c>
      <c r="AB11" s="17">
        <f>L18+IF(L20="+",1,-1)*M20/10*N13-F13/760-0.1</f>
        <v>0.9</v>
      </c>
    </row>
    <row r="12" spans="1:29" ht="15" customHeight="1">
      <c r="A12" s="28">
        <v>11</v>
      </c>
      <c r="B12" s="115" t="s">
        <v>42</v>
      </c>
      <c r="C12" s="115"/>
      <c r="D12" s="115"/>
      <c r="E12" s="115"/>
      <c r="F12" s="69"/>
      <c r="G12" s="70"/>
      <c r="H12" s="70"/>
      <c r="I12" s="123"/>
      <c r="J12" s="29">
        <v>12</v>
      </c>
      <c r="K12" s="115" t="s">
        <v>11</v>
      </c>
      <c r="L12" s="115"/>
      <c r="M12" s="115"/>
      <c r="N12" s="87"/>
      <c r="O12" s="87"/>
      <c r="P12" s="87"/>
      <c r="Q12" s="87"/>
      <c r="R12" s="124"/>
      <c r="Z12" s="12" t="s">
        <v>70</v>
      </c>
      <c r="AB12" s="18" t="e">
        <f>AB11-AB10</f>
        <v>#DIV/0!</v>
      </c>
      <c r="AC12" s="12" t="s">
        <v>72</v>
      </c>
    </row>
    <row r="13" spans="1:28" ht="15" customHeight="1">
      <c r="A13" s="28">
        <v>13</v>
      </c>
      <c r="B13" s="115" t="s">
        <v>12</v>
      </c>
      <c r="C13" s="115"/>
      <c r="D13" s="115"/>
      <c r="E13" s="115"/>
      <c r="F13" s="87"/>
      <c r="G13" s="87"/>
      <c r="H13" s="87"/>
      <c r="I13" s="87"/>
      <c r="J13" s="29">
        <v>14</v>
      </c>
      <c r="K13" s="115" t="s">
        <v>13</v>
      </c>
      <c r="L13" s="115"/>
      <c r="M13" s="115"/>
      <c r="N13" s="69"/>
      <c r="O13" s="70"/>
      <c r="P13" s="70"/>
      <c r="Q13" s="70"/>
      <c r="R13" s="71"/>
      <c r="Z13" s="12" t="s">
        <v>71</v>
      </c>
      <c r="AB13" s="17" t="e">
        <f>O18+IF(O20="+",1,-1)*P20*N13/10-L18-IF(L20="+",1,-1)*M20*N13/10-AB8-AB9</f>
        <v>#DIV/0!</v>
      </c>
    </row>
    <row r="14" spans="1:30" ht="15" customHeight="1">
      <c r="A14" s="28">
        <v>15</v>
      </c>
      <c r="B14" s="115" t="s">
        <v>14</v>
      </c>
      <c r="C14" s="115"/>
      <c r="D14" s="115"/>
      <c r="E14" s="115"/>
      <c r="F14" s="87"/>
      <c r="G14" s="87"/>
      <c r="H14" s="87"/>
      <c r="I14" s="87"/>
      <c r="J14" s="29" t="s">
        <v>15</v>
      </c>
      <c r="K14" s="115" t="s">
        <v>16</v>
      </c>
      <c r="L14" s="115"/>
      <c r="M14" s="115"/>
      <c r="N14" s="69" t="s">
        <v>92</v>
      </c>
      <c r="O14" s="70"/>
      <c r="P14" s="70"/>
      <c r="Q14" s="70"/>
      <c r="R14" s="71"/>
      <c r="Z14" s="12" t="s">
        <v>94</v>
      </c>
      <c r="AB14" s="17" t="e">
        <f>IF(AB13&lt;0.4,IF(AB13&lt;-0.6,ABS(AB13-0.4),1),0)</f>
        <v>#DIV/0!</v>
      </c>
      <c r="AC14" s="26" t="e">
        <f>ROUND(AB14,1)</f>
        <v>#DIV/0!</v>
      </c>
      <c r="AD14" s="12" t="e">
        <f>IF(AB13&lt;0.4,ROUND(ABS(AB13-0.4)+0.05,1),0)</f>
        <v>#DIV/0!</v>
      </c>
    </row>
    <row r="15" spans="1:28" ht="22.5" customHeight="1" thickBot="1">
      <c r="A15" s="34" t="s">
        <v>17</v>
      </c>
      <c r="B15" s="116" t="s">
        <v>80</v>
      </c>
      <c r="C15" s="116"/>
      <c r="D15" s="116"/>
      <c r="E15" s="116"/>
      <c r="F15" s="117"/>
      <c r="G15" s="118"/>
      <c r="H15" s="119"/>
      <c r="I15" s="120"/>
      <c r="J15" s="35" t="s">
        <v>18</v>
      </c>
      <c r="K15" s="116" t="s">
        <v>19</v>
      </c>
      <c r="L15" s="116"/>
      <c r="M15" s="116"/>
      <c r="N15" s="121"/>
      <c r="O15" s="121"/>
      <c r="P15" s="121"/>
      <c r="Q15" s="121"/>
      <c r="R15" s="122"/>
      <c r="Z15" s="12" t="s">
        <v>95</v>
      </c>
      <c r="AB15" s="17" t="b">
        <f>IF(O23="YES",IF(Q23&gt;IF(AB14=0,1,AB14),Q23,IF(AB14=0,1,AB14)))</f>
        <v>0</v>
      </c>
    </row>
    <row r="16" spans="1:29" ht="15.75" thickBot="1">
      <c r="A16" s="110" t="s">
        <v>40</v>
      </c>
      <c r="B16" s="111"/>
      <c r="C16" s="111"/>
      <c r="D16" s="111"/>
      <c r="E16" s="111"/>
      <c r="F16" s="111"/>
      <c r="G16" s="111"/>
      <c r="H16" s="111"/>
      <c r="I16" s="111"/>
      <c r="J16" s="111"/>
      <c r="K16" s="111"/>
      <c r="L16" s="111"/>
      <c r="M16" s="111"/>
      <c r="N16" s="111"/>
      <c r="O16" s="111"/>
      <c r="P16" s="111"/>
      <c r="Q16" s="111"/>
      <c r="R16" s="112"/>
      <c r="Z16" s="12" t="s">
        <v>65</v>
      </c>
      <c r="AB16" s="17" t="e">
        <f>AB15+O18+IF(O20="+",1,-1)*P20*N13/10-L18-IF(L20="+",1,-1)*M20*N13/10-AB8-AB9</f>
        <v>#DIV/0!</v>
      </c>
      <c r="AC16" s="12" t="s">
        <v>73</v>
      </c>
    </row>
    <row r="17" spans="1:28" ht="15" customHeight="1">
      <c r="A17" s="113" t="s">
        <v>20</v>
      </c>
      <c r="B17" s="82"/>
      <c r="C17" s="82"/>
      <c r="D17" s="82"/>
      <c r="E17" s="82"/>
      <c r="F17" s="82"/>
      <c r="G17" s="82"/>
      <c r="H17" s="82"/>
      <c r="I17" s="82"/>
      <c r="J17" s="82"/>
      <c r="K17" s="82"/>
      <c r="L17" s="82" t="s">
        <v>21</v>
      </c>
      <c r="M17" s="82"/>
      <c r="N17" s="82"/>
      <c r="O17" s="82" t="s">
        <v>22</v>
      </c>
      <c r="P17" s="82"/>
      <c r="Q17" s="82"/>
      <c r="R17" s="83"/>
      <c r="Z17" s="12" t="s">
        <v>66</v>
      </c>
      <c r="AB17" s="17" t="e">
        <f>L18+IF(L20="+",1,-1)*M20/10*N13+AB8</f>
        <v>#DIV/0!</v>
      </c>
    </row>
    <row r="18" spans="1:28" ht="14.25">
      <c r="A18" s="37">
        <v>17</v>
      </c>
      <c r="B18" s="92" t="s">
        <v>105</v>
      </c>
      <c r="C18" s="92"/>
      <c r="D18" s="92"/>
      <c r="E18" s="92"/>
      <c r="F18" s="92"/>
      <c r="G18" s="92"/>
      <c r="H18" s="92"/>
      <c r="I18" s="92"/>
      <c r="J18" s="92"/>
      <c r="K18" s="92"/>
      <c r="L18" s="88">
        <v>1</v>
      </c>
      <c r="M18" s="88"/>
      <c r="N18" s="88"/>
      <c r="O18" s="88">
        <v>1</v>
      </c>
      <c r="P18" s="88"/>
      <c r="Q18" s="88"/>
      <c r="R18" s="114"/>
      <c r="Z18" s="19" t="s">
        <v>67</v>
      </c>
      <c r="AA18" s="19"/>
      <c r="AB18" s="20" t="e">
        <f>MAX(J6,O18+IF(O20="+",1,-1)*P20*N13/10+AB9+AB15)</f>
        <v>#DIV/0!</v>
      </c>
    </row>
    <row r="19" spans="1:28" ht="14.25">
      <c r="A19" s="37">
        <v>18</v>
      </c>
      <c r="B19" s="92" t="s">
        <v>23</v>
      </c>
      <c r="C19" s="92"/>
      <c r="D19" s="92"/>
      <c r="E19" s="92"/>
      <c r="F19" s="92"/>
      <c r="G19" s="92"/>
      <c r="H19" s="92"/>
      <c r="I19" s="92"/>
      <c r="J19" s="92"/>
      <c r="K19" s="92"/>
      <c r="L19" s="89"/>
      <c r="M19" s="90"/>
      <c r="N19" s="106"/>
      <c r="O19" s="89"/>
      <c r="P19" s="90"/>
      <c r="Q19" s="90"/>
      <c r="R19" s="91"/>
      <c r="Z19" s="12" t="s">
        <v>77</v>
      </c>
      <c r="AB19" s="21">
        <f>G25</f>
        <v>3</v>
      </c>
    </row>
    <row r="20" spans="1:30" ht="14.25">
      <c r="A20" s="37">
        <v>19</v>
      </c>
      <c r="B20" s="92" t="s">
        <v>104</v>
      </c>
      <c r="C20" s="92"/>
      <c r="D20" s="92"/>
      <c r="E20" s="92"/>
      <c r="F20" s="92"/>
      <c r="G20" s="92"/>
      <c r="H20" s="92"/>
      <c r="I20" s="92"/>
      <c r="J20" s="92"/>
      <c r="K20" s="92"/>
      <c r="L20" s="39" t="s">
        <v>48</v>
      </c>
      <c r="M20" s="89"/>
      <c r="N20" s="106"/>
      <c r="O20" s="39" t="s">
        <v>48</v>
      </c>
      <c r="P20" s="89"/>
      <c r="Q20" s="90"/>
      <c r="R20" s="91"/>
      <c r="Z20" s="12" t="s">
        <v>74</v>
      </c>
      <c r="AB20" s="21" t="e">
        <f>IF(AC20&lt;=0.55,0.5,IF(AC20&lt;=1.1,1,IF(AC20&lt;=2.2,2,IF(AC20&lt;=3.3,3,IF(AC20&lt;=5.5,5,IF(AC20&lt;=7.7,7,IF(AC20&lt;=11,10,IF(AC20&lt;=17.6,16,AD20))))))))</f>
        <v>#DIV/0!</v>
      </c>
      <c r="AC20" s="21" t="e">
        <f>ROUND((D6*AE1/60/D8)/((1/AB17/(1-AB19/100))^0.7193-(1/AB17/(1+AB19/100))^0.7193),1)</f>
        <v>#DIV/0!</v>
      </c>
      <c r="AD20" s="12" t="e">
        <f>IF(AC20&lt;=33,30,IF(AC20&lt;=44,40,IF(AC20&lt;=66,60,AC20)))</f>
        <v>#DIV/0!</v>
      </c>
    </row>
    <row r="21" spans="1:28" ht="14.25">
      <c r="A21" s="37">
        <v>20</v>
      </c>
      <c r="B21" s="92" t="s">
        <v>106</v>
      </c>
      <c r="C21" s="92"/>
      <c r="D21" s="92"/>
      <c r="E21" s="92"/>
      <c r="F21" s="92"/>
      <c r="G21" s="92"/>
      <c r="H21" s="92"/>
      <c r="I21" s="92"/>
      <c r="J21" s="92"/>
      <c r="K21" s="92"/>
      <c r="L21" s="89"/>
      <c r="M21" s="90"/>
      <c r="N21" s="106"/>
      <c r="O21" s="89"/>
      <c r="P21" s="90"/>
      <c r="Q21" s="90"/>
      <c r="R21" s="91"/>
      <c r="Z21" s="12" t="s">
        <v>76</v>
      </c>
      <c r="AB21" s="21">
        <f>G25</f>
        <v>3</v>
      </c>
    </row>
    <row r="22" spans="1:30" ht="14.25">
      <c r="A22" s="37">
        <v>21</v>
      </c>
      <c r="B22" s="92" t="s">
        <v>107</v>
      </c>
      <c r="C22" s="92"/>
      <c r="D22" s="92"/>
      <c r="E22" s="92"/>
      <c r="F22" s="92"/>
      <c r="G22" s="92"/>
      <c r="H22" s="92"/>
      <c r="I22" s="92"/>
      <c r="J22" s="92"/>
      <c r="K22" s="92"/>
      <c r="L22" s="89" t="s">
        <v>93</v>
      </c>
      <c r="M22" s="90"/>
      <c r="N22" s="106"/>
      <c r="O22" s="97" t="s">
        <v>24</v>
      </c>
      <c r="P22" s="108"/>
      <c r="Q22" s="108"/>
      <c r="R22" s="109"/>
      <c r="Z22" s="12" t="s">
        <v>75</v>
      </c>
      <c r="AB22" s="21" t="e">
        <f>IF(AC22&lt;=0.55,0.5,IF(AC22&lt;=1.1,1,IF(AC22&lt;=2.2,2,IF(AC22&lt;=3.3,3,IF(AC22&lt;=5.5,5,IF(AC22&lt;=7.7,7,IF(AC22&lt;=11,10,IF(AC22&lt;=17.6,16,AD22))))))))</f>
        <v>#DIV/0!</v>
      </c>
      <c r="AC22" s="12" t="e">
        <f>ROUND((D6*AE1/60/D8)/((1/AB18/(1-AB21/100))^0.7193-(1/AB18/(1+AB21/100))^0.7193),1)</f>
        <v>#DIV/0!</v>
      </c>
      <c r="AD22" s="12" t="e">
        <f>IF(AC22&lt;=33,30,IF(AC22&lt;=44,40,IF(AC22&lt;=66,60,AC22)))</f>
        <v>#DIV/0!</v>
      </c>
    </row>
    <row r="23" spans="1:29" ht="14.25">
      <c r="A23" s="37">
        <v>22</v>
      </c>
      <c r="B23" s="92" t="s">
        <v>49</v>
      </c>
      <c r="C23" s="92"/>
      <c r="D23" s="92"/>
      <c r="E23" s="92"/>
      <c r="F23" s="92"/>
      <c r="G23" s="92"/>
      <c r="H23" s="92"/>
      <c r="I23" s="92"/>
      <c r="J23" s="92"/>
      <c r="K23" s="92"/>
      <c r="L23" s="94" t="s">
        <v>24</v>
      </c>
      <c r="M23" s="94"/>
      <c r="N23" s="94"/>
      <c r="O23" s="89"/>
      <c r="P23" s="106"/>
      <c r="Q23" s="90"/>
      <c r="R23" s="91"/>
      <c r="Z23" s="12" t="s">
        <v>78</v>
      </c>
      <c r="AB23" s="22" t="e">
        <f>IF(ROUND(AB15+O18+IF(O20="+",1,-1)*P20*N13/10+AB9,1)&lt;=10,AB15+O18+IF(O20="+",1,-1)*P20*N13/10+AB9,(AB15+O18+IF(O20="+",1,-1)*P20*N13/10+AB9)*1.05)</f>
        <v>#DIV/0!</v>
      </c>
      <c r="AC23" s="12" t="s">
        <v>82</v>
      </c>
    </row>
    <row r="24" spans="1:18" ht="14.25">
      <c r="A24" s="37">
        <v>23</v>
      </c>
      <c r="B24" s="92" t="s">
        <v>43</v>
      </c>
      <c r="C24" s="92"/>
      <c r="D24" s="92"/>
      <c r="E24" s="92"/>
      <c r="F24" s="92"/>
      <c r="G24" s="107"/>
      <c r="H24" s="92"/>
      <c r="I24" s="92"/>
      <c r="J24" s="92"/>
      <c r="K24" s="92"/>
      <c r="L24" s="94" t="s">
        <v>24</v>
      </c>
      <c r="M24" s="94"/>
      <c r="N24" s="94"/>
      <c r="O24" s="89">
        <f>J6+1</f>
        <v>1</v>
      </c>
      <c r="P24" s="90"/>
      <c r="Q24" s="90"/>
      <c r="R24" s="91"/>
    </row>
    <row r="25" spans="1:27" ht="15" customHeight="1">
      <c r="A25" s="37">
        <v>24</v>
      </c>
      <c r="B25" s="67" t="s">
        <v>110</v>
      </c>
      <c r="C25" s="95"/>
      <c r="D25" s="95"/>
      <c r="E25" s="95"/>
      <c r="F25" s="95"/>
      <c r="G25" s="40">
        <v>3</v>
      </c>
      <c r="H25" s="104" t="s">
        <v>111</v>
      </c>
      <c r="I25" s="104"/>
      <c r="J25" s="104"/>
      <c r="K25" s="105"/>
      <c r="L25" s="88" t="s">
        <v>92</v>
      </c>
      <c r="M25" s="88"/>
      <c r="N25" s="32"/>
      <c r="O25" s="88" t="s">
        <v>92</v>
      </c>
      <c r="P25" s="88"/>
      <c r="Q25" s="89"/>
      <c r="R25" s="91"/>
      <c r="Z25" s="12">
        <f>IF(J6&lt;10,J6+1,J6*1.1)</f>
        <v>1</v>
      </c>
      <c r="AA25" s="12" t="s">
        <v>83</v>
      </c>
    </row>
    <row r="26" spans="1:26" ht="14.25">
      <c r="A26" s="37"/>
      <c r="B26" s="97"/>
      <c r="C26" s="98"/>
      <c r="D26" s="99" t="s">
        <v>21</v>
      </c>
      <c r="E26" s="100"/>
      <c r="F26" s="100"/>
      <c r="G26" s="101"/>
      <c r="H26" s="102"/>
      <c r="I26" s="99" t="s">
        <v>22</v>
      </c>
      <c r="J26" s="100"/>
      <c r="K26" s="100"/>
      <c r="L26" s="100"/>
      <c r="M26" s="100"/>
      <c r="N26" s="100"/>
      <c r="O26" s="100"/>
      <c r="P26" s="100"/>
      <c r="Q26" s="100"/>
      <c r="R26" s="103"/>
      <c r="Z26" s="12" t="e">
        <f>ROUND(IF(AB23&lt;10,AB23+1,AB23*1.1),1)</f>
        <v>#DIV/0!</v>
      </c>
    </row>
    <row r="27" spans="1:18" ht="14.25">
      <c r="A27" s="37"/>
      <c r="B27" s="67" t="s">
        <v>51</v>
      </c>
      <c r="C27" s="68"/>
      <c r="D27" s="38" t="s">
        <v>25</v>
      </c>
      <c r="E27" s="38" t="s">
        <v>26</v>
      </c>
      <c r="F27" s="92" t="s">
        <v>27</v>
      </c>
      <c r="G27" s="92"/>
      <c r="H27" s="92"/>
      <c r="I27" s="92" t="s">
        <v>25</v>
      </c>
      <c r="J27" s="92"/>
      <c r="K27" s="92"/>
      <c r="L27" s="94" t="s">
        <v>26</v>
      </c>
      <c r="M27" s="94"/>
      <c r="N27" s="67" t="s">
        <v>28</v>
      </c>
      <c r="O27" s="95"/>
      <c r="P27" s="95"/>
      <c r="Q27" s="95"/>
      <c r="R27" s="96"/>
    </row>
    <row r="28" spans="1:18" ht="15" customHeight="1">
      <c r="A28" s="37">
        <v>25</v>
      </c>
      <c r="B28" s="92" t="s">
        <v>29</v>
      </c>
      <c r="C28" s="92"/>
      <c r="D28" s="41"/>
      <c r="E28" s="41"/>
      <c r="F28" s="93"/>
      <c r="G28" s="93"/>
      <c r="H28" s="93"/>
      <c r="I28" s="93"/>
      <c r="J28" s="93"/>
      <c r="K28" s="93"/>
      <c r="L28" s="88"/>
      <c r="M28" s="88"/>
      <c r="N28" s="89"/>
      <c r="O28" s="90"/>
      <c r="P28" s="90"/>
      <c r="Q28" s="90"/>
      <c r="R28" s="91"/>
    </row>
    <row r="29" spans="1:18" ht="14.25">
      <c r="A29" s="37">
        <v>26</v>
      </c>
      <c r="B29" s="92" t="s">
        <v>30</v>
      </c>
      <c r="C29" s="92"/>
      <c r="D29" s="41"/>
      <c r="E29" s="41"/>
      <c r="F29" s="93"/>
      <c r="G29" s="93"/>
      <c r="H29" s="93"/>
      <c r="I29" s="93"/>
      <c r="J29" s="93"/>
      <c r="K29" s="93"/>
      <c r="L29" s="88"/>
      <c r="M29" s="88"/>
      <c r="N29" s="89"/>
      <c r="O29" s="90"/>
      <c r="P29" s="90"/>
      <c r="Q29" s="90"/>
      <c r="R29" s="91"/>
    </row>
    <row r="30" spans="1:18" ht="14.25">
      <c r="A30" s="37">
        <v>27</v>
      </c>
      <c r="B30" s="87" t="s">
        <v>108</v>
      </c>
      <c r="C30" s="87"/>
      <c r="D30" s="41"/>
      <c r="E30" s="41"/>
      <c r="F30" s="88"/>
      <c r="G30" s="88"/>
      <c r="H30" s="88"/>
      <c r="I30" s="88"/>
      <c r="J30" s="88"/>
      <c r="K30" s="88"/>
      <c r="L30" s="88"/>
      <c r="M30" s="88"/>
      <c r="N30" s="89"/>
      <c r="O30" s="90"/>
      <c r="P30" s="90"/>
      <c r="Q30" s="90"/>
      <c r="R30" s="91"/>
    </row>
    <row r="31" spans="1:18" ht="14.25">
      <c r="A31" s="37">
        <v>28</v>
      </c>
      <c r="B31" s="87" t="s">
        <v>109</v>
      </c>
      <c r="C31" s="87"/>
      <c r="D31" s="41"/>
      <c r="E31" s="41"/>
      <c r="F31" s="88"/>
      <c r="G31" s="88"/>
      <c r="H31" s="88"/>
      <c r="I31" s="88"/>
      <c r="J31" s="88"/>
      <c r="K31" s="88"/>
      <c r="L31" s="88"/>
      <c r="M31" s="88"/>
      <c r="N31" s="89"/>
      <c r="O31" s="90"/>
      <c r="P31" s="90"/>
      <c r="Q31" s="90"/>
      <c r="R31" s="91"/>
    </row>
    <row r="32" spans="1:18" ht="14.25">
      <c r="A32" s="37">
        <v>29</v>
      </c>
      <c r="B32" s="87" t="s">
        <v>109</v>
      </c>
      <c r="C32" s="87"/>
      <c r="D32" s="41"/>
      <c r="E32" s="41"/>
      <c r="F32" s="88"/>
      <c r="G32" s="88"/>
      <c r="H32" s="88"/>
      <c r="I32" s="88"/>
      <c r="J32" s="88"/>
      <c r="K32" s="88"/>
      <c r="L32" s="88"/>
      <c r="M32" s="88"/>
      <c r="N32" s="89"/>
      <c r="O32" s="90"/>
      <c r="P32" s="90"/>
      <c r="Q32" s="90"/>
      <c r="R32" s="91"/>
    </row>
    <row r="33" spans="1:18" ht="14.25">
      <c r="A33" s="37">
        <v>30</v>
      </c>
      <c r="B33" s="67" t="s">
        <v>31</v>
      </c>
      <c r="C33" s="68"/>
      <c r="D33" s="69"/>
      <c r="E33" s="70"/>
      <c r="F33" s="70"/>
      <c r="G33" s="70"/>
      <c r="H33" s="70"/>
      <c r="I33" s="70"/>
      <c r="J33" s="70"/>
      <c r="K33" s="70"/>
      <c r="L33" s="70"/>
      <c r="M33" s="70"/>
      <c r="N33" s="70"/>
      <c r="O33" s="70"/>
      <c r="P33" s="70"/>
      <c r="Q33" s="70"/>
      <c r="R33" s="71"/>
    </row>
    <row r="34" spans="1:18" ht="15" customHeight="1" thickBot="1">
      <c r="A34" s="42">
        <v>31</v>
      </c>
      <c r="B34" s="72" t="s">
        <v>32</v>
      </c>
      <c r="C34" s="73"/>
      <c r="D34" s="74"/>
      <c r="E34" s="74"/>
      <c r="F34" s="74"/>
      <c r="G34" s="74"/>
      <c r="H34" s="74"/>
      <c r="I34" s="74"/>
      <c r="J34" s="74"/>
      <c r="K34" s="74"/>
      <c r="L34" s="74"/>
      <c r="M34" s="74"/>
      <c r="N34" s="74"/>
      <c r="O34" s="74"/>
      <c r="P34" s="74"/>
      <c r="Q34" s="74"/>
      <c r="R34" s="75"/>
    </row>
    <row r="35" spans="1:18" ht="14.25">
      <c r="A35" s="76"/>
      <c r="B35" s="77"/>
      <c r="C35" s="77"/>
      <c r="D35" s="77"/>
      <c r="E35" s="77"/>
      <c r="F35" s="77"/>
      <c r="G35" s="77"/>
      <c r="H35" s="77"/>
      <c r="I35" s="77"/>
      <c r="J35" s="77"/>
      <c r="K35" s="77"/>
      <c r="L35" s="77"/>
      <c r="M35" s="82" t="s">
        <v>79</v>
      </c>
      <c r="N35" s="82"/>
      <c r="O35" s="82"/>
      <c r="P35" s="82"/>
      <c r="Q35" s="82"/>
      <c r="R35" s="83"/>
    </row>
    <row r="36" spans="1:26" ht="14.25">
      <c r="A36" s="78"/>
      <c r="B36" s="79"/>
      <c r="C36" s="79"/>
      <c r="D36" s="79"/>
      <c r="E36" s="79"/>
      <c r="F36" s="79"/>
      <c r="G36" s="79"/>
      <c r="H36" s="79"/>
      <c r="I36" s="79"/>
      <c r="J36" s="79"/>
      <c r="K36" s="79"/>
      <c r="L36" s="79"/>
      <c r="M36" s="84"/>
      <c r="N36" s="85"/>
      <c r="O36" s="85"/>
      <c r="P36" s="85"/>
      <c r="Q36" s="85"/>
      <c r="R36" s="86"/>
      <c r="Z36" s="12" t="e">
        <f>"NPSHA = "&amp;ROUND(AB11*10/N13,1)&amp;" MLC"</f>
        <v>#DIV/0!</v>
      </c>
    </row>
    <row r="37" spans="1:26" ht="14.25">
      <c r="A37" s="78"/>
      <c r="B37" s="79"/>
      <c r="C37" s="79"/>
      <c r="D37" s="79"/>
      <c r="E37" s="79"/>
      <c r="F37" s="79"/>
      <c r="G37" s="79"/>
      <c r="H37" s="79"/>
      <c r="I37" s="79"/>
      <c r="J37" s="79"/>
      <c r="K37" s="79"/>
      <c r="L37" s="79"/>
      <c r="M37" s="58"/>
      <c r="N37" s="59"/>
      <c r="O37" s="59"/>
      <c r="P37" s="59"/>
      <c r="Q37" s="59"/>
      <c r="R37" s="60"/>
      <c r="Z37" s="12" t="e">
        <f>"NPSHR = "&amp;ROUND(AB10*10/N13,1)&amp;" MLC"</f>
        <v>#DIV/0!</v>
      </c>
    </row>
    <row r="38" spans="1:26" ht="14.25">
      <c r="A38" s="78"/>
      <c r="B38" s="79"/>
      <c r="C38" s="79"/>
      <c r="D38" s="79"/>
      <c r="E38" s="79"/>
      <c r="F38" s="79"/>
      <c r="G38" s="79"/>
      <c r="H38" s="79"/>
      <c r="I38" s="79"/>
      <c r="J38" s="79"/>
      <c r="K38" s="79"/>
      <c r="L38" s="79"/>
      <c r="M38" s="58"/>
      <c r="N38" s="59"/>
      <c r="O38" s="59"/>
      <c r="P38" s="59"/>
      <c r="Q38" s="59"/>
      <c r="R38" s="60"/>
      <c r="Z38" s="12" t="e">
        <f>IF(OR(ROUND(AB12,2)&lt;0.1,ROUND(AB16,2)&lt;0.4),"Increase Suction Pipe NB","")</f>
        <v>#DIV/0!</v>
      </c>
    </row>
    <row r="39" spans="1:26" ht="14.25">
      <c r="A39" s="78"/>
      <c r="B39" s="79"/>
      <c r="C39" s="79"/>
      <c r="D39" s="79"/>
      <c r="E39" s="79"/>
      <c r="F39" s="79"/>
      <c r="G39" s="79"/>
      <c r="H39" s="79"/>
      <c r="I39" s="79"/>
      <c r="J39" s="79"/>
      <c r="K39" s="79"/>
      <c r="L39" s="79"/>
      <c r="M39" s="58"/>
      <c r="N39" s="59"/>
      <c r="O39" s="59"/>
      <c r="P39" s="59"/>
      <c r="Q39" s="59"/>
      <c r="R39" s="60"/>
      <c r="Z39" s="12" t="e">
        <f>IF(OR(ROUND(AB12,2)&lt;0.1,ROUND(AB16,2)&lt;0.4),"Increase Suction Static Head","")</f>
        <v>#DIV/0!</v>
      </c>
    </row>
    <row r="40" spans="1:26" ht="14.25">
      <c r="A40" s="78"/>
      <c r="B40" s="79"/>
      <c r="C40" s="79"/>
      <c r="D40" s="79"/>
      <c r="E40" s="79"/>
      <c r="F40" s="79"/>
      <c r="G40" s="79"/>
      <c r="H40" s="79"/>
      <c r="I40" s="79"/>
      <c r="J40" s="79"/>
      <c r="K40" s="79"/>
      <c r="L40" s="79"/>
      <c r="M40" s="58"/>
      <c r="N40" s="59"/>
      <c r="O40" s="59"/>
      <c r="P40" s="59"/>
      <c r="Q40" s="59"/>
      <c r="R40" s="60"/>
      <c r="Z40" s="12" t="e">
        <f>IF(OR(ROUND(AB12,2)&lt;0.1,ROUND(AB16,2)&lt;0.4),"Reduce Suction Pipe Horizontal Length","")</f>
        <v>#DIV/0!</v>
      </c>
    </row>
    <row r="41" spans="1:26" ht="14.25">
      <c r="A41" s="78"/>
      <c r="B41" s="79"/>
      <c r="C41" s="79"/>
      <c r="D41" s="79"/>
      <c r="E41" s="79"/>
      <c r="F41" s="79"/>
      <c r="G41" s="79"/>
      <c r="H41" s="79"/>
      <c r="I41" s="79"/>
      <c r="J41" s="79"/>
      <c r="K41" s="79"/>
      <c r="L41" s="79"/>
      <c r="M41" s="58"/>
      <c r="N41" s="59"/>
      <c r="O41" s="59"/>
      <c r="P41" s="59"/>
      <c r="Q41" s="59"/>
      <c r="R41" s="60"/>
      <c r="Z41" s="12" t="e">
        <f>IF(OR(AND(ROUND(AB12,2)&lt;0.1,L25="NO"),AND(ROUND(AB16,2)&lt;0.4,L25="NO")),"Provide Suction Damper of Minimum "&amp;ROUND(AB20,1)&amp;" Lit","")</f>
        <v>#DIV/0!</v>
      </c>
    </row>
    <row r="42" spans="1:26" ht="14.25">
      <c r="A42" s="78"/>
      <c r="B42" s="79"/>
      <c r="C42" s="79"/>
      <c r="D42" s="79"/>
      <c r="E42" s="79"/>
      <c r="F42" s="79"/>
      <c r="G42" s="79"/>
      <c r="H42" s="79"/>
      <c r="I42" s="79"/>
      <c r="J42" s="79"/>
      <c r="K42" s="79"/>
      <c r="L42" s="79"/>
      <c r="M42" s="64"/>
      <c r="N42" s="65"/>
      <c r="O42" s="65"/>
      <c r="P42" s="65"/>
      <c r="Q42" s="65"/>
      <c r="R42" s="66"/>
      <c r="Z42" s="12" t="e">
        <f>IF(AND(ROUND(AB16,2)&lt;0.4,O23="NO"),"Provide Back Pressure valve @ "&amp;ROUND(IF(ABS(AB13-0.4)&lt;1,1,ABS(AB13-0.4)),1)&amp;" Kg/cm sq","")</f>
        <v>#DIV/0!</v>
      </c>
    </row>
    <row r="43" spans="1:26" ht="14.25">
      <c r="A43" s="78"/>
      <c r="B43" s="79"/>
      <c r="C43" s="79"/>
      <c r="D43" s="79"/>
      <c r="E43" s="79"/>
      <c r="F43" s="79"/>
      <c r="G43" s="79"/>
      <c r="H43" s="79"/>
      <c r="I43" s="79"/>
      <c r="J43" s="79"/>
      <c r="K43" s="79"/>
      <c r="L43" s="79"/>
      <c r="M43" s="58"/>
      <c r="N43" s="59"/>
      <c r="O43" s="59"/>
      <c r="P43" s="59"/>
      <c r="Q43" s="59"/>
      <c r="R43" s="60"/>
      <c r="Z43" s="12" t="e">
        <f>IF(OR(ROUND(AB16,2)&lt;0.4,AND(J6&lt;ROUND(AB23,1),ROUND(AB9/AB23,2)&gt;0.2)),"Increse Discharge Pipe NB","")</f>
        <v>#DIV/0!</v>
      </c>
    </row>
    <row r="44" spans="1:26" ht="14.25">
      <c r="A44" s="78"/>
      <c r="B44" s="79"/>
      <c r="C44" s="79"/>
      <c r="D44" s="79"/>
      <c r="E44" s="79"/>
      <c r="F44" s="79"/>
      <c r="G44" s="79"/>
      <c r="H44" s="79"/>
      <c r="I44" s="79"/>
      <c r="J44" s="79"/>
      <c r="K44" s="79"/>
      <c r="L44" s="79"/>
      <c r="M44" s="58"/>
      <c r="N44" s="59"/>
      <c r="O44" s="59"/>
      <c r="P44" s="59"/>
      <c r="Q44" s="59"/>
      <c r="R44" s="60"/>
      <c r="Z44" s="12" t="e">
        <f>IF(OR(ROUND(AB16,2)&lt;0.4,AND(J6&lt;ROUND(AB23,1),ROUND(AB9/AB23,2)&gt;0.2)),"Reduce Discharge Pipe Horizontal Lenght","")</f>
        <v>#DIV/0!</v>
      </c>
    </row>
    <row r="45" spans="1:26" ht="14.25">
      <c r="A45" s="78"/>
      <c r="B45" s="79"/>
      <c r="C45" s="79"/>
      <c r="D45" s="79"/>
      <c r="E45" s="79"/>
      <c r="F45" s="79"/>
      <c r="G45" s="79"/>
      <c r="H45" s="79"/>
      <c r="I45" s="79"/>
      <c r="J45" s="79"/>
      <c r="K45" s="79"/>
      <c r="L45" s="79"/>
      <c r="M45" s="58"/>
      <c r="N45" s="59"/>
      <c r="O45" s="59"/>
      <c r="P45" s="59"/>
      <c r="Q45" s="59"/>
      <c r="R45" s="60"/>
      <c r="Z45" s="12" t="e">
        <f>IF(OR(AND(ROUND(AB16,2)&lt;0.4,O25="NO"),AND(J6&lt;ROUND(AB23,1),O25="NO",ROUND(AB9/AB23,2)&gt;0.2)),"Provide Discharge Damper of "&amp;ROUND(AB22,1)&amp;" Lit","")</f>
        <v>#DIV/0!</v>
      </c>
    </row>
    <row r="46" spans="1:26" ht="14.25">
      <c r="A46" s="78"/>
      <c r="B46" s="79"/>
      <c r="C46" s="79"/>
      <c r="D46" s="79"/>
      <c r="E46" s="79"/>
      <c r="F46" s="79"/>
      <c r="G46" s="79"/>
      <c r="H46" s="79"/>
      <c r="I46" s="79"/>
      <c r="J46" s="79"/>
      <c r="K46" s="79"/>
      <c r="L46" s="79"/>
      <c r="M46" s="58"/>
      <c r="N46" s="59"/>
      <c r="O46" s="59"/>
      <c r="P46" s="59"/>
      <c r="Q46" s="59"/>
      <c r="R46" s="60"/>
      <c r="U46" s="1"/>
      <c r="Z46" s="12" t="e">
        <f>IF(AND(L25="YES",N25&lt;AB20*0.95),"Increase Suction Damper Volume to "&amp;ROUND(AB20,1)&amp;" Lit","")</f>
        <v>#DIV/0!</v>
      </c>
    </row>
    <row r="47" spans="1:26" ht="14.25">
      <c r="A47" s="78"/>
      <c r="B47" s="79"/>
      <c r="C47" s="79"/>
      <c r="D47" s="79"/>
      <c r="E47" s="79"/>
      <c r="F47" s="79"/>
      <c r="G47" s="79"/>
      <c r="H47" s="79"/>
      <c r="I47" s="79"/>
      <c r="J47" s="79"/>
      <c r="K47" s="79"/>
      <c r="L47" s="79"/>
      <c r="M47" s="58"/>
      <c r="N47" s="59"/>
      <c r="O47" s="59"/>
      <c r="P47" s="59"/>
      <c r="Q47" s="59"/>
      <c r="R47" s="60"/>
      <c r="Z47" s="12" t="e">
        <f>IF(AND(O25="YES",Q25&lt;AB22*0.95),"Increase Discharge Damper Volume to "&amp;ROUND(AB22,1)&amp;" Lit","")</f>
        <v>#DIV/0!</v>
      </c>
    </row>
    <row r="48" spans="1:26" ht="14.25">
      <c r="A48" s="78"/>
      <c r="B48" s="79"/>
      <c r="C48" s="79"/>
      <c r="D48" s="79"/>
      <c r="E48" s="79"/>
      <c r="F48" s="79"/>
      <c r="G48" s="79"/>
      <c r="H48" s="79"/>
      <c r="I48" s="79"/>
      <c r="J48" s="79"/>
      <c r="K48" s="79"/>
      <c r="L48" s="79"/>
      <c r="M48" s="58"/>
      <c r="N48" s="59"/>
      <c r="O48" s="59"/>
      <c r="P48" s="59"/>
      <c r="Q48" s="59"/>
      <c r="R48" s="60"/>
      <c r="Z48" s="12" t="e">
        <f>IF(AND(O23="YES",Q23&lt;ROUND(AB14,1)),"Increase BPV Setting to "&amp;ROUND(AB14,1)&amp;" Kg/Cm Sq",IF(AND(O23="YES",AB14=0),"BPV is not required",IF(AND(O23="YES",Q23&gt;ROUND(AB14*1.05,1)),"Reduce BPV Setting to "&amp;ROUND(AB14,1)&amp;" Kg/Cm Sq","")))</f>
        <v>#DIV/0!</v>
      </c>
    </row>
    <row r="49" spans="1:26" ht="14.25">
      <c r="A49" s="78"/>
      <c r="B49" s="79"/>
      <c r="C49" s="79"/>
      <c r="D49" s="79"/>
      <c r="E49" s="79"/>
      <c r="F49" s="79"/>
      <c r="G49" s="79"/>
      <c r="H49" s="79"/>
      <c r="I49" s="79"/>
      <c r="J49" s="79"/>
      <c r="K49" s="79"/>
      <c r="L49" s="79"/>
      <c r="M49" s="58"/>
      <c r="N49" s="59"/>
      <c r="O49" s="59"/>
      <c r="P49" s="59"/>
      <c r="Q49" s="59"/>
      <c r="R49" s="60"/>
      <c r="Z49" s="12" t="e">
        <f>IF(J6&lt;ROUND(AB23,1),"Required Min Pump Disch Pr ="&amp;ROUND(AB23,1)&amp;" Kg/cm sq","")</f>
        <v>#DIV/0!</v>
      </c>
    </row>
    <row r="50" spans="1:26" ht="14.25">
      <c r="A50" s="78"/>
      <c r="B50" s="79"/>
      <c r="C50" s="79"/>
      <c r="D50" s="79"/>
      <c r="E50" s="79"/>
      <c r="F50" s="79"/>
      <c r="G50" s="79"/>
      <c r="H50" s="79"/>
      <c r="I50" s="79"/>
      <c r="J50" s="79"/>
      <c r="K50" s="79"/>
      <c r="L50" s="79"/>
      <c r="M50" s="58"/>
      <c r="N50" s="59"/>
      <c r="O50" s="59"/>
      <c r="P50" s="59"/>
      <c r="Q50" s="59"/>
      <c r="R50" s="60"/>
      <c r="Z50" s="12" t="e">
        <f>IF(O24&lt;ROUND(IF(AB23&lt;10,AB23+1,AB23*1.1),1),"Required Min SRV Set Pr = "&amp;ROUND(IF(AB23&lt;10,AB23+1,AB23*1.1),1)&amp;" Kg/cm sq","")</f>
        <v>#DIV/0!</v>
      </c>
    </row>
    <row r="51" spans="1:26" ht="14.25">
      <c r="A51" s="78"/>
      <c r="B51" s="79"/>
      <c r="C51" s="79"/>
      <c r="D51" s="79"/>
      <c r="E51" s="79"/>
      <c r="F51" s="79"/>
      <c r="G51" s="79"/>
      <c r="H51" s="79"/>
      <c r="I51" s="79"/>
      <c r="J51" s="79"/>
      <c r="K51" s="79"/>
      <c r="L51" s="79"/>
      <c r="M51" s="58"/>
      <c r="N51" s="59"/>
      <c r="O51" s="59"/>
      <c r="P51" s="59"/>
      <c r="Q51" s="59"/>
      <c r="R51" s="60"/>
      <c r="Z51" s="12">
        <f>IF(L22="NO","Suction Strainer is Mandatory","")</f>
      </c>
    </row>
    <row r="52" spans="1:18" ht="14.25">
      <c r="A52" s="78"/>
      <c r="B52" s="79"/>
      <c r="C52" s="79"/>
      <c r="D52" s="79"/>
      <c r="E52" s="79"/>
      <c r="F52" s="79"/>
      <c r="G52" s="79"/>
      <c r="H52" s="79"/>
      <c r="I52" s="79"/>
      <c r="J52" s="79"/>
      <c r="K52" s="79"/>
      <c r="L52" s="79"/>
      <c r="M52" s="58"/>
      <c r="N52" s="59"/>
      <c r="O52" s="59"/>
      <c r="P52" s="59"/>
      <c r="Q52" s="59"/>
      <c r="R52" s="60"/>
    </row>
    <row r="53" spans="1:18" ht="14.25">
      <c r="A53" s="78"/>
      <c r="B53" s="79"/>
      <c r="C53" s="79"/>
      <c r="D53" s="79"/>
      <c r="E53" s="79"/>
      <c r="F53" s="79"/>
      <c r="G53" s="79"/>
      <c r="H53" s="79"/>
      <c r="I53" s="79"/>
      <c r="J53" s="79"/>
      <c r="K53" s="79"/>
      <c r="L53" s="79"/>
      <c r="M53" s="58"/>
      <c r="N53" s="59"/>
      <c r="O53" s="59"/>
      <c r="P53" s="59"/>
      <c r="Q53" s="59"/>
      <c r="R53" s="60"/>
    </row>
    <row r="54" spans="1:18" ht="14.25">
      <c r="A54" s="78"/>
      <c r="B54" s="79"/>
      <c r="C54" s="79"/>
      <c r="D54" s="79"/>
      <c r="E54" s="79"/>
      <c r="F54" s="79"/>
      <c r="G54" s="79"/>
      <c r="H54" s="79"/>
      <c r="I54" s="79"/>
      <c r="J54" s="79"/>
      <c r="K54" s="79"/>
      <c r="L54" s="79"/>
      <c r="M54" s="58"/>
      <c r="N54" s="59"/>
      <c r="O54" s="59"/>
      <c r="P54" s="59"/>
      <c r="Q54" s="59"/>
      <c r="R54" s="60"/>
    </row>
    <row r="55" spans="1:18" ht="14.25">
      <c r="A55" s="78"/>
      <c r="B55" s="79"/>
      <c r="C55" s="79"/>
      <c r="D55" s="79"/>
      <c r="E55" s="79"/>
      <c r="F55" s="79"/>
      <c r="G55" s="79"/>
      <c r="H55" s="79"/>
      <c r="I55" s="79"/>
      <c r="J55" s="79"/>
      <c r="K55" s="79"/>
      <c r="L55" s="79"/>
      <c r="M55" s="58"/>
      <c r="N55" s="59"/>
      <c r="O55" s="59"/>
      <c r="P55" s="59"/>
      <c r="Q55" s="59"/>
      <c r="R55" s="60"/>
    </row>
    <row r="56" spans="1:26" ht="14.25">
      <c r="A56" s="78"/>
      <c r="B56" s="79"/>
      <c r="C56" s="79"/>
      <c r="D56" s="79"/>
      <c r="E56" s="79"/>
      <c r="F56" s="79"/>
      <c r="G56" s="79"/>
      <c r="H56" s="79"/>
      <c r="I56" s="79"/>
      <c r="J56" s="79"/>
      <c r="K56" s="79"/>
      <c r="L56" s="79"/>
      <c r="M56" s="58"/>
      <c r="N56" s="59"/>
      <c r="O56" s="59"/>
      <c r="P56" s="59"/>
      <c r="Q56" s="59"/>
      <c r="R56" s="60"/>
      <c r="Z56" s="12" t="e">
        <f>IF(AND(Z38="",Z39="",Z40="",Z41="",Z42="",Z43="",Z44="",Z45="",Z46="",Z47="",Z48="",Z49="",Z50="",Z51="",Z52="",Z53="",Z54="",Z55=""),"Acceptable Installation","")</f>
        <v>#DIV/0!</v>
      </c>
    </row>
    <row r="57" spans="1:18" ht="15" thickBot="1">
      <c r="A57" s="80"/>
      <c r="B57" s="81"/>
      <c r="C57" s="81"/>
      <c r="D57" s="81"/>
      <c r="E57" s="81"/>
      <c r="F57" s="81"/>
      <c r="G57" s="81"/>
      <c r="H57" s="81"/>
      <c r="I57" s="81"/>
      <c r="J57" s="81"/>
      <c r="K57" s="81"/>
      <c r="L57" s="81"/>
      <c r="M57" s="61"/>
      <c r="N57" s="62"/>
      <c r="O57" s="62"/>
      <c r="P57" s="62"/>
      <c r="Q57" s="62"/>
      <c r="R57" s="63"/>
    </row>
    <row r="58" spans="1:18" ht="14.25">
      <c r="A58" s="45" t="s">
        <v>33</v>
      </c>
      <c r="B58" s="46"/>
      <c r="C58" s="46"/>
      <c r="D58" s="46"/>
      <c r="E58" s="46"/>
      <c r="F58" s="46"/>
      <c r="G58" s="46"/>
      <c r="H58" s="46"/>
      <c r="I58" s="46"/>
      <c r="J58" s="46"/>
      <c r="K58" s="46"/>
      <c r="L58" s="46"/>
      <c r="M58" s="46"/>
      <c r="N58" s="46"/>
      <c r="O58" s="46"/>
      <c r="P58" s="46"/>
      <c r="Q58" s="46"/>
      <c r="R58" s="47"/>
    </row>
    <row r="59" spans="1:18" ht="15" customHeight="1">
      <c r="A59" s="48" t="s">
        <v>44</v>
      </c>
      <c r="B59" s="49"/>
      <c r="C59" s="49"/>
      <c r="D59" s="49"/>
      <c r="E59" s="49"/>
      <c r="F59" s="49"/>
      <c r="G59" s="49"/>
      <c r="H59" s="49"/>
      <c r="I59" s="49"/>
      <c r="J59" s="49"/>
      <c r="K59" s="49"/>
      <c r="L59" s="49"/>
      <c r="M59" s="49"/>
      <c r="N59" s="49"/>
      <c r="O59" s="49"/>
      <c r="P59" s="49"/>
      <c r="Q59" s="49"/>
      <c r="R59" s="50"/>
    </row>
    <row r="60" spans="1:18" ht="15" customHeight="1">
      <c r="A60" s="48" t="s">
        <v>45</v>
      </c>
      <c r="B60" s="49"/>
      <c r="C60" s="49"/>
      <c r="D60" s="49"/>
      <c r="E60" s="49"/>
      <c r="F60" s="49"/>
      <c r="G60" s="49"/>
      <c r="H60" s="49"/>
      <c r="I60" s="49"/>
      <c r="J60" s="49"/>
      <c r="K60" s="49"/>
      <c r="L60" s="49"/>
      <c r="M60" s="49"/>
      <c r="N60" s="49"/>
      <c r="O60" s="49"/>
      <c r="P60" s="49"/>
      <c r="Q60" s="49"/>
      <c r="R60" s="50"/>
    </row>
    <row r="61" spans="1:18" ht="15" customHeight="1">
      <c r="A61" s="48" t="s">
        <v>46</v>
      </c>
      <c r="B61" s="49"/>
      <c r="C61" s="49"/>
      <c r="D61" s="49"/>
      <c r="E61" s="49"/>
      <c r="F61" s="49"/>
      <c r="G61" s="49"/>
      <c r="H61" s="49"/>
      <c r="I61" s="49"/>
      <c r="J61" s="49"/>
      <c r="K61" s="49"/>
      <c r="L61" s="49"/>
      <c r="M61" s="49"/>
      <c r="N61" s="49"/>
      <c r="O61" s="49"/>
      <c r="P61" s="49"/>
      <c r="Q61" s="49"/>
      <c r="R61" s="50"/>
    </row>
    <row r="62" spans="1:18" ht="25.5" customHeight="1" thickBot="1">
      <c r="A62" s="51" t="s">
        <v>50</v>
      </c>
      <c r="B62" s="52"/>
      <c r="C62" s="52"/>
      <c r="D62" s="52"/>
      <c r="E62" s="52"/>
      <c r="F62" s="52"/>
      <c r="G62" s="52"/>
      <c r="H62" s="52"/>
      <c r="I62" s="53"/>
      <c r="J62" s="53"/>
      <c r="K62" s="53"/>
      <c r="L62" s="53"/>
      <c r="M62" s="53"/>
      <c r="N62" s="53"/>
      <c r="O62" s="53"/>
      <c r="P62" s="53"/>
      <c r="Q62" s="53"/>
      <c r="R62" s="54"/>
    </row>
    <row r="63" spans="2:8" ht="15">
      <c r="B63" s="55" t="s">
        <v>90</v>
      </c>
      <c r="C63" s="56"/>
      <c r="D63" s="56"/>
      <c r="E63" s="56"/>
      <c r="F63" s="56"/>
      <c r="G63" s="56"/>
      <c r="H63" s="57"/>
    </row>
    <row r="64" spans="2:8" ht="14.25">
      <c r="B64" s="4"/>
      <c r="C64" s="43" t="s">
        <v>85</v>
      </c>
      <c r="D64" s="43"/>
      <c r="E64" s="43"/>
      <c r="F64" s="2" t="s">
        <v>96</v>
      </c>
      <c r="G64" s="3"/>
      <c r="H64" s="5"/>
    </row>
    <row r="65" spans="2:8" ht="14.25">
      <c r="B65" s="4"/>
      <c r="C65" s="43" t="s">
        <v>86</v>
      </c>
      <c r="D65" s="43"/>
      <c r="E65" s="43"/>
      <c r="F65" s="2"/>
      <c r="G65" s="3"/>
      <c r="H65" s="5"/>
    </row>
    <row r="66" spans="2:8" ht="14.25">
      <c r="B66" s="4"/>
      <c r="C66" s="43" t="s">
        <v>87</v>
      </c>
      <c r="D66" s="43"/>
      <c r="E66" s="43"/>
      <c r="F66" s="2"/>
      <c r="G66" s="3"/>
      <c r="H66" s="5"/>
    </row>
    <row r="67" spans="2:8" ht="14.25">
      <c r="B67" s="4"/>
      <c r="C67" s="43" t="s">
        <v>88</v>
      </c>
      <c r="D67" s="43"/>
      <c r="E67" s="43"/>
      <c r="F67" s="2"/>
      <c r="G67" s="3"/>
      <c r="H67" s="5"/>
    </row>
    <row r="68" spans="2:8" ht="14.25">
      <c r="B68" s="4"/>
      <c r="C68" s="43" t="s">
        <v>89</v>
      </c>
      <c r="D68" s="43"/>
      <c r="E68" s="43"/>
      <c r="F68" s="2"/>
      <c r="G68" s="3"/>
      <c r="H68" s="5"/>
    </row>
    <row r="69" spans="2:8" ht="15" thickBot="1">
      <c r="B69" s="6"/>
      <c r="C69" s="44" t="s">
        <v>91</v>
      </c>
      <c r="D69" s="44"/>
      <c r="E69" s="44"/>
      <c r="F69" s="7" t="str">
        <f>IF(AND(F64="Yes",F67&gt;0,F68&gt;0),"Yes","No")</f>
        <v>No</v>
      </c>
      <c r="G69" s="8"/>
      <c r="H69" s="9"/>
    </row>
  </sheetData>
  <sheetProtection password="C699" sheet="1" objects="1" scenarios="1" selectLockedCells="1"/>
  <mergeCells count="164">
    <mergeCell ref="C64:E64"/>
    <mergeCell ref="C65:E65"/>
    <mergeCell ref="C66:E66"/>
    <mergeCell ref="C67:E67"/>
    <mergeCell ref="C68:E68"/>
    <mergeCell ref="C69:E69"/>
    <mergeCell ref="A58:R58"/>
    <mergeCell ref="A59:R59"/>
    <mergeCell ref="A60:R60"/>
    <mergeCell ref="A61:R61"/>
    <mergeCell ref="A62:R62"/>
    <mergeCell ref="B63:H63"/>
    <mergeCell ref="M52:R52"/>
    <mergeCell ref="M53:R53"/>
    <mergeCell ref="M54:R54"/>
    <mergeCell ref="M55:R55"/>
    <mergeCell ref="M56:R56"/>
    <mergeCell ref="M57:R57"/>
    <mergeCell ref="M46:R46"/>
    <mergeCell ref="M47:R47"/>
    <mergeCell ref="M48:R48"/>
    <mergeCell ref="M49:R49"/>
    <mergeCell ref="M50:R50"/>
    <mergeCell ref="M51:R51"/>
    <mergeCell ref="M40:R40"/>
    <mergeCell ref="M41:R41"/>
    <mergeCell ref="M42:R42"/>
    <mergeCell ref="M43:R43"/>
    <mergeCell ref="M44:R44"/>
    <mergeCell ref="M45:R45"/>
    <mergeCell ref="B33:C33"/>
    <mergeCell ref="D33:R33"/>
    <mergeCell ref="B34:C34"/>
    <mergeCell ref="D34:R34"/>
    <mergeCell ref="A35:L57"/>
    <mergeCell ref="M35:R35"/>
    <mergeCell ref="M36:R36"/>
    <mergeCell ref="M37:R37"/>
    <mergeCell ref="M38:R38"/>
    <mergeCell ref="M39:R39"/>
    <mergeCell ref="B31:C31"/>
    <mergeCell ref="F31:H31"/>
    <mergeCell ref="I31:K31"/>
    <mergeCell ref="L31:M31"/>
    <mergeCell ref="N31:R31"/>
    <mergeCell ref="B32:C32"/>
    <mergeCell ref="F32:H32"/>
    <mergeCell ref="I32:K32"/>
    <mergeCell ref="L32:M32"/>
    <mergeCell ref="N32:R32"/>
    <mergeCell ref="B29:C29"/>
    <mergeCell ref="F29:H29"/>
    <mergeCell ref="I29:K29"/>
    <mergeCell ref="L29:M29"/>
    <mergeCell ref="N29:R29"/>
    <mergeCell ref="B30:C30"/>
    <mergeCell ref="F30:H30"/>
    <mergeCell ref="I30:K30"/>
    <mergeCell ref="L30:M30"/>
    <mergeCell ref="N30:R30"/>
    <mergeCell ref="B27:C27"/>
    <mergeCell ref="F27:H27"/>
    <mergeCell ref="I27:K27"/>
    <mergeCell ref="L27:M27"/>
    <mergeCell ref="N27:R27"/>
    <mergeCell ref="B28:C28"/>
    <mergeCell ref="F28:H28"/>
    <mergeCell ref="I28:K28"/>
    <mergeCell ref="L28:M28"/>
    <mergeCell ref="N28:R28"/>
    <mergeCell ref="B25:F25"/>
    <mergeCell ref="H25:K25"/>
    <mergeCell ref="L25:M25"/>
    <mergeCell ref="O25:P25"/>
    <mergeCell ref="Q25:R25"/>
    <mergeCell ref="B26:C26"/>
    <mergeCell ref="D26:H26"/>
    <mergeCell ref="I26:R26"/>
    <mergeCell ref="B23:K23"/>
    <mergeCell ref="L23:N23"/>
    <mergeCell ref="O23:P23"/>
    <mergeCell ref="Q23:R23"/>
    <mergeCell ref="B24:K24"/>
    <mergeCell ref="L24:N24"/>
    <mergeCell ref="O24:R24"/>
    <mergeCell ref="B21:K21"/>
    <mergeCell ref="L21:N21"/>
    <mergeCell ref="O21:R21"/>
    <mergeCell ref="B22:K22"/>
    <mergeCell ref="L22:N22"/>
    <mergeCell ref="O22:R22"/>
    <mergeCell ref="B19:K19"/>
    <mergeCell ref="L19:N19"/>
    <mergeCell ref="O19:R19"/>
    <mergeCell ref="B20:K20"/>
    <mergeCell ref="M20:N20"/>
    <mergeCell ref="P20:R20"/>
    <mergeCell ref="A16:R16"/>
    <mergeCell ref="A17:K17"/>
    <mergeCell ref="L17:N17"/>
    <mergeCell ref="O17:R17"/>
    <mergeCell ref="B18:K18"/>
    <mergeCell ref="L18:N18"/>
    <mergeCell ref="O18:R18"/>
    <mergeCell ref="B14:E14"/>
    <mergeCell ref="F14:I14"/>
    <mergeCell ref="K14:M14"/>
    <mergeCell ref="N14:R14"/>
    <mergeCell ref="B15:E15"/>
    <mergeCell ref="F15:G15"/>
    <mergeCell ref="H15:I15"/>
    <mergeCell ref="K15:M15"/>
    <mergeCell ref="N15:R15"/>
    <mergeCell ref="B12:E12"/>
    <mergeCell ref="F12:I12"/>
    <mergeCell ref="K12:M12"/>
    <mergeCell ref="N12:R12"/>
    <mergeCell ref="B13:E13"/>
    <mergeCell ref="F13:I13"/>
    <mergeCell ref="K13:M13"/>
    <mergeCell ref="N13:R13"/>
    <mergeCell ref="A9:R9"/>
    <mergeCell ref="A10:R10"/>
    <mergeCell ref="B11:E11"/>
    <mergeCell ref="F11:I11"/>
    <mergeCell ref="K11:M11"/>
    <mergeCell ref="N11:R11"/>
    <mergeCell ref="B8:C8"/>
    <mergeCell ref="D8:F8"/>
    <mergeCell ref="H8:I8"/>
    <mergeCell ref="J8:M8"/>
    <mergeCell ref="N8:O8"/>
    <mergeCell ref="P8:Q8"/>
    <mergeCell ref="B7:C7"/>
    <mergeCell ref="D7:F7"/>
    <mergeCell ref="H7:I7"/>
    <mergeCell ref="J7:M7"/>
    <mergeCell ref="N7:O7"/>
    <mergeCell ref="P7:Q7"/>
    <mergeCell ref="B6:C6"/>
    <mergeCell ref="D6:F6"/>
    <mergeCell ref="H6:I6"/>
    <mergeCell ref="J6:M6"/>
    <mergeCell ref="N6:O6"/>
    <mergeCell ref="P6:Q6"/>
    <mergeCell ref="A4:C4"/>
    <mergeCell ref="D4:R4"/>
    <mergeCell ref="Z4:AB4"/>
    <mergeCell ref="AC4:AD4"/>
    <mergeCell ref="B5:C5"/>
    <mergeCell ref="D5:F5"/>
    <mergeCell ref="H5:I5"/>
    <mergeCell ref="J5:O5"/>
    <mergeCell ref="P5:Q5"/>
    <mergeCell ref="A1:C3"/>
    <mergeCell ref="D1:I1"/>
    <mergeCell ref="J1:N1"/>
    <mergeCell ref="O1:R1"/>
    <mergeCell ref="D2:I2"/>
    <mergeCell ref="J2:N2"/>
    <mergeCell ref="O2:R2"/>
    <mergeCell ref="D3:I3"/>
    <mergeCell ref="J3:N3"/>
    <mergeCell ref="O3:R3"/>
  </mergeCells>
  <conditionalFormatting sqref="AB12">
    <cfRule type="cellIs" priority="4" dxfId="96" operator="lessThan">
      <formula>0.1</formula>
    </cfRule>
  </conditionalFormatting>
  <conditionalFormatting sqref="AB16">
    <cfRule type="cellIs" priority="3" dxfId="96" operator="lessThan">
      <formula>0.4</formula>
    </cfRule>
  </conditionalFormatting>
  <conditionalFormatting sqref="AB23">
    <cfRule type="cellIs" priority="2" dxfId="96" operator="greaterThan">
      <formula>$J$6</formula>
    </cfRule>
  </conditionalFormatting>
  <conditionalFormatting sqref="F12">
    <cfRule type="cellIs" priority="1" dxfId="96" operator="greaterThan">
      <formula>90</formula>
    </cfRule>
  </conditionalFormatting>
  <conditionalFormatting sqref="A15:E15 J15:M15">
    <cfRule type="expression" priority="5" dxfId="97" stopIfTrue="1">
      <formula>$N$14="NO"</formula>
    </cfRule>
  </conditionalFormatting>
  <conditionalFormatting sqref="F13:I13 N11:R11">
    <cfRule type="cellIs" priority="6" dxfId="98" operator="greaterThan" stopIfTrue="1">
      <formula>200</formula>
    </cfRule>
  </conditionalFormatting>
  <conditionalFormatting sqref="N13:R13">
    <cfRule type="cellIs" priority="7" dxfId="98" operator="greaterThan" stopIfTrue="1">
      <formula>2</formula>
    </cfRule>
  </conditionalFormatting>
  <conditionalFormatting sqref="N14:R14">
    <cfRule type="cellIs" priority="8" dxfId="98" operator="equal" stopIfTrue="1">
      <formula>"YES"</formula>
    </cfRule>
  </conditionalFormatting>
  <conditionalFormatting sqref="H15:I15">
    <cfRule type="expression" priority="9" dxfId="97" stopIfTrue="1">
      <formula>$N$14="NO"</formula>
    </cfRule>
    <cfRule type="cellIs" priority="10" dxfId="98" operator="greaterThan" stopIfTrue="1">
      <formula>5</formula>
    </cfRule>
  </conditionalFormatting>
  <conditionalFormatting sqref="F15:G15">
    <cfRule type="expression" priority="11" dxfId="97" stopIfTrue="1">
      <formula>$N$14="NO"</formula>
    </cfRule>
    <cfRule type="cellIs" priority="12" dxfId="98" operator="greaterThan" stopIfTrue="1">
      <formula>50</formula>
    </cfRule>
  </conditionalFormatting>
  <conditionalFormatting sqref="N15:R15">
    <cfRule type="expression" priority="13" dxfId="97" stopIfTrue="1">
      <formula>$N$14="NO"</formula>
    </cfRule>
    <cfRule type="cellIs" priority="14" dxfId="98" operator="equal" stopIfTrue="1">
      <formula>"YES"</formula>
    </cfRule>
  </conditionalFormatting>
  <conditionalFormatting sqref="L18:R18">
    <cfRule type="cellIs" priority="15" dxfId="98" operator="lessThan" stopIfTrue="1">
      <formula>1</formula>
    </cfRule>
  </conditionalFormatting>
  <conditionalFormatting sqref="L20 O20">
    <cfRule type="cellIs" priority="16" dxfId="98" operator="equal" stopIfTrue="1">
      <formula>"-"</formula>
    </cfRule>
  </conditionalFormatting>
  <dataValidations count="25">
    <dataValidation type="list" allowBlank="1" sqref="O24:R24">
      <formula1>$Z$25:$Z$26</formula1>
    </dataValidation>
    <dataValidation allowBlank="1" showInputMessage="1" sqref="O22:R22"/>
    <dataValidation type="list" allowBlank="1" sqref="Q25:R25">
      <formula1>$AB$22:$AC$22</formula1>
    </dataValidation>
    <dataValidation type="list" allowBlank="1" showErrorMessage="1" errorTitle="SHAPOTOOLS" error="ENTERVALUE BETWEEN 1 AND 50" sqref="Q23:R23">
      <formula1>$AC$14:$AD$14</formula1>
    </dataValidation>
    <dataValidation type="decimal" showErrorMessage="1" errorTitle="SHAPOTOOLS" error="ENTER VALUE BETWEEN -1 TO 500" sqref="J6">
      <formula1>-1</formula1>
      <formula2>500</formula2>
    </dataValidation>
    <dataValidation type="whole" showInputMessage="1" showErrorMessage="1" sqref="U26">
      <formula1>0</formula1>
      <formula2>10</formula2>
    </dataValidation>
    <dataValidation type="decimal" allowBlank="1" showErrorMessage="1" errorTitle="SHAPOTOOLS" error="ENTER VALUE BETWEEN 0 TO 50" sqref="D33:R33">
      <formula1>0</formula1>
      <formula2>50</formula2>
    </dataValidation>
    <dataValidation type="decimal" showErrorMessage="1" errorTitle="SHAPOTOOLS" error="ENTER VALUE BETWEEN 20 TO 300" sqref="D8">
      <formula1>20</formula1>
      <formula2>300</formula2>
    </dataValidation>
    <dataValidation type="decimal" showErrorMessage="1" errorTitle="SHAPOTOOLS" error="ENTER VALUE BETWEEN 0.1 TO 20000" sqref="D6">
      <formula1>0.1</formula1>
      <formula2>20000</formula2>
    </dataValidation>
    <dataValidation type="list" allowBlank="1" showInputMessage="1" errorTitle="SHAPOTOOLS" error="ENTER VALUE BETWEEN 0.1 TO 100" sqref="N25">
      <formula1>$AB$20:$AC$20</formula1>
    </dataValidation>
    <dataValidation type="decimal" showErrorMessage="1" errorTitle="SHAPOTOOLS" error="ENTER VALUE BETWEEN 0 TO 500" sqref="L18:R18">
      <formula1>0</formula1>
      <formula2>500</formula2>
    </dataValidation>
    <dataValidation type="decimal" showErrorMessage="1" errorTitle="SHAPOTOOLS" error="ENTER VALUE BETWEEN 0.2 TO 23" sqref="N13">
      <formula1>0.2</formula1>
      <formula2>23</formula2>
    </dataValidation>
    <dataValidation type="decimal" showErrorMessage="1" errorTitle="SHAPOTOOLS" error="ENTER VALUE BETWEEN -50 TO +500" sqref="N12:R12 F12">
      <formula1>-50</formula1>
      <formula2>500</formula2>
    </dataValidation>
    <dataValidation type="decimal" showErrorMessage="1" errorTitle="SHAPOTOOLS" error="ENTER VALUE BETWEEN 0 TO 1000000" sqref="N11:R11">
      <formula1>0</formula1>
      <formula2>100000</formula2>
    </dataValidation>
    <dataValidation type="decimal" showErrorMessage="1" errorTitle="SHAPOTOOLS" error="ENTER VALUE BETWEEN 0 TO 100" sqref="H15:I15">
      <formula1>0</formula1>
      <formula2>100</formula2>
    </dataValidation>
    <dataValidation type="decimal" operator="greaterThanOrEqual" showErrorMessage="1" errorTitle="SHAPOTOOLS" error="ENTER VALUE BETWEEN 0 TO 5000" sqref="F15:G15">
      <formula1>0</formula1>
    </dataValidation>
    <dataValidation type="decimal" showErrorMessage="1" errorTitle="SHAPOTOOLS" error="ENTER VALUE BETWEEN 0 TO 5000" sqref="F13:I13">
      <formula1>0</formula1>
      <formula2>5000</formula2>
    </dataValidation>
    <dataValidation type="list" showErrorMessage="1" errorTitle="SHAPOTOOLS" error="PLEASE SELECT PIPE NB" sqref="L21 O21">
      <formula1>"15,20,25,40,50,65,80,100,125,150"</formula1>
    </dataValidation>
    <dataValidation type="list" showErrorMessage="1" errorTitle="SHAPOTOOLS" error="ENTER YES OR NO" sqref="O23 L22 N14">
      <formula1>"YES,NO"</formula1>
    </dataValidation>
    <dataValidation type="list" showErrorMessage="1" errorTitle="SHAPOTOOLS" error="ENTER POSITIVE OR NEGATIVE" sqref="L20 O20">
      <formula1>"+,-"</formula1>
    </dataValidation>
    <dataValidation type="list" allowBlank="1" showErrorMessage="1" errorTitle="SHAPOTOOLS" error="ENTER YES OR NO" sqref="N15:R15 L25:M25 O25">
      <formula1>"YES,NO"</formula1>
    </dataValidation>
    <dataValidation type="decimal" showErrorMessage="1" errorTitle="SHAPOTOOLS" error="ENTER VALUE HIGHER THAN 0 AND LESS THAN TOTAL DISCHARGE PIPE LENGTH ABOVE" sqref="P20">
      <formula1>0</formula1>
      <formula2>O19</formula2>
    </dataValidation>
    <dataValidation type="decimal" showErrorMessage="1" errorTitle="SHAPOTOOLS" error="ENTER VALUE HIGHER THAN 0 AND LESS THAN TOTAL SUCTION  PIPE LENGTH ABOVE" sqref="M20">
      <formula1>0</formula1>
      <formula2>L19</formula2>
    </dataValidation>
    <dataValidation type="decimal" showErrorMessage="1" errorTitle="SHAPOTOOLS" error="ENTER VALUE GREATER THAN DISCHARGE STATIC HEAD BELOW &amp; LESS THAN 10000" sqref="O19">
      <formula1>P20</formula1>
      <formula2>10000</formula2>
    </dataValidation>
    <dataValidation type="decimal" showErrorMessage="1" errorTitle="SHAPOTOOLS" error="ENTER VALUE GREATER THAN SUCTION STATIC HEAD BELOW AND LESS THAN 50" sqref="L19">
      <formula1>M20</formula1>
      <formula2>50</formula2>
    </dataValidation>
  </dataValidations>
  <printOptions/>
  <pageMargins left="0.7" right="0.7" top="0.75" bottom="0.75" header="0.3" footer="0.3"/>
  <pageSetup fitToHeight="1" fitToWidth="1" horizontalDpi="600" verticalDpi="600" orientation="portrait" paperSize="9" scale="69" r:id="rId5"/>
  <drawing r:id="rId4"/>
  <legacyDrawing r:id="rId3"/>
  <oleObjects>
    <oleObject progId="MSWordArt.2" shapeId="18182654" r:id="rId1"/>
    <oleObject progId="HarvardFX" shapeId="18182655" r:id="rId2"/>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A1:AG69"/>
  <sheetViews>
    <sheetView zoomScale="80" zoomScaleNormal="80" zoomScalePageLayoutView="0" workbookViewId="0" topLeftCell="A1">
      <selection activeCell="D4" sqref="D4:R4"/>
    </sheetView>
  </sheetViews>
  <sheetFormatPr defaultColWidth="9.140625" defaultRowHeight="15"/>
  <cols>
    <col min="1" max="1" width="3.7109375" style="0" customWidth="1"/>
    <col min="3" max="3" width="4.57421875" style="0" customWidth="1"/>
    <col min="6" max="6" width="9.7109375" style="0" customWidth="1"/>
    <col min="7" max="7" width="2.7109375" style="0" customWidth="1"/>
    <col min="8" max="8" width="15.28125" style="0" customWidth="1"/>
    <col min="9" max="9" width="3.00390625" style="0" customWidth="1"/>
    <col min="10" max="10" width="3.7109375" style="0" customWidth="1"/>
    <col min="12" max="12" width="4.7109375" style="0" customWidth="1"/>
    <col min="13" max="13" width="10.28125" style="0" customWidth="1"/>
    <col min="14" max="14" width="8.7109375" style="0" customWidth="1"/>
    <col min="15" max="15" width="4.421875" style="0" customWidth="1"/>
    <col min="16" max="16" width="6.28125" style="0" customWidth="1"/>
    <col min="17" max="17" width="4.57421875" style="0" customWidth="1"/>
    <col min="18" max="18" width="8.28125" style="0" customWidth="1"/>
    <col min="20" max="20" width="13.7109375" style="0" customWidth="1"/>
    <col min="21" max="21" width="20.00390625" style="0" customWidth="1"/>
    <col min="26" max="26" width="9.28125" style="12" hidden="1" customWidth="1"/>
    <col min="27" max="27" width="24.421875" style="12" hidden="1" customWidth="1"/>
    <col min="28" max="31" width="9.28125" style="12" hidden="1" customWidth="1"/>
    <col min="32" max="32" width="15.28125" style="12" hidden="1" customWidth="1"/>
    <col min="33" max="33" width="9.28125" style="12" hidden="1" customWidth="1"/>
    <col min="34" max="35" width="9.28125" style="0" customWidth="1"/>
  </cols>
  <sheetData>
    <row r="1" spans="1:31" ht="23.25" customHeight="1">
      <c r="A1" s="143"/>
      <c r="B1" s="144"/>
      <c r="C1" s="144"/>
      <c r="D1" s="150" t="s">
        <v>0</v>
      </c>
      <c r="E1" s="150"/>
      <c r="F1" s="150"/>
      <c r="G1" s="150"/>
      <c r="H1" s="150"/>
      <c r="I1" s="150"/>
      <c r="J1" s="151" t="s">
        <v>38</v>
      </c>
      <c r="K1" s="151"/>
      <c r="L1" s="151"/>
      <c r="M1" s="151"/>
      <c r="N1" s="151"/>
      <c r="O1" s="152" t="s">
        <v>64</v>
      </c>
      <c r="P1" s="152"/>
      <c r="Q1" s="152"/>
      <c r="R1" s="153"/>
      <c r="T1" s="11"/>
      <c r="U1" s="24">
        <v>44782</v>
      </c>
      <c r="Z1" s="12" t="s">
        <v>55</v>
      </c>
      <c r="AB1" s="23">
        <v>0</v>
      </c>
      <c r="AC1" s="23">
        <v>1.5</v>
      </c>
      <c r="AE1" s="23">
        <v>0.69</v>
      </c>
    </row>
    <row r="2" spans="1:30" ht="15" customHeight="1">
      <c r="A2" s="145"/>
      <c r="B2" s="146"/>
      <c r="C2" s="147"/>
      <c r="D2" s="154" t="s">
        <v>112</v>
      </c>
      <c r="E2" s="155"/>
      <c r="F2" s="155"/>
      <c r="G2" s="155"/>
      <c r="H2" s="155"/>
      <c r="I2" s="155"/>
      <c r="J2" s="156" t="s">
        <v>1</v>
      </c>
      <c r="K2" s="157"/>
      <c r="L2" s="157"/>
      <c r="M2" s="157"/>
      <c r="N2" s="158"/>
      <c r="O2" s="159" t="s">
        <v>63</v>
      </c>
      <c r="P2" s="159"/>
      <c r="Q2" s="159"/>
      <c r="R2" s="160"/>
      <c r="U2" s="10"/>
      <c r="Z2" s="12" t="s">
        <v>56</v>
      </c>
      <c r="AB2" s="23">
        <v>0</v>
      </c>
      <c r="AC2" s="13"/>
      <c r="AD2" s="13"/>
    </row>
    <row r="3" spans="1:29" ht="15" customHeight="1" thickBot="1">
      <c r="A3" s="148"/>
      <c r="B3" s="149"/>
      <c r="C3" s="149"/>
      <c r="D3" s="161" t="s">
        <v>113</v>
      </c>
      <c r="E3" s="161"/>
      <c r="F3" s="161"/>
      <c r="G3" s="161"/>
      <c r="H3" s="161"/>
      <c r="I3" s="161"/>
      <c r="J3" s="162" t="s">
        <v>34</v>
      </c>
      <c r="K3" s="162"/>
      <c r="L3" s="162"/>
      <c r="M3" s="162"/>
      <c r="N3" s="162"/>
      <c r="O3" s="163" t="s">
        <v>37</v>
      </c>
      <c r="P3" s="163"/>
      <c r="Q3" s="163"/>
      <c r="R3" s="164"/>
      <c r="Z3" s="12" t="s">
        <v>57</v>
      </c>
      <c r="AB3" s="14">
        <f>N13*AB1*D8*D8*AB2*AB2/AC1/10000000</f>
        <v>0</v>
      </c>
      <c r="AC3" s="15" t="s">
        <v>53</v>
      </c>
    </row>
    <row r="4" spans="1:33" ht="15.75" customHeight="1">
      <c r="A4" s="136" t="s">
        <v>35</v>
      </c>
      <c r="B4" s="137"/>
      <c r="C4" s="137"/>
      <c r="D4" s="138"/>
      <c r="E4" s="139"/>
      <c r="F4" s="139"/>
      <c r="G4" s="139"/>
      <c r="H4" s="139"/>
      <c r="I4" s="139"/>
      <c r="J4" s="139"/>
      <c r="K4" s="139"/>
      <c r="L4" s="139"/>
      <c r="M4" s="139"/>
      <c r="N4" s="139"/>
      <c r="O4" s="139"/>
      <c r="P4" s="139"/>
      <c r="Q4" s="139"/>
      <c r="R4" s="140"/>
      <c r="Z4" s="141"/>
      <c r="AA4" s="141"/>
      <c r="AB4" s="141"/>
      <c r="AC4" s="141" t="s">
        <v>54</v>
      </c>
      <c r="AD4" s="141"/>
      <c r="AF4" s="12" t="s">
        <v>103</v>
      </c>
      <c r="AG4" s="12">
        <f>IF(ISERR(FIND(AF4,UPPER($J$5),1))=FALSE,0.35,0.15)</f>
        <v>0.15</v>
      </c>
    </row>
    <row r="5" spans="1:33" ht="15" customHeight="1">
      <c r="A5" s="28">
        <v>1</v>
      </c>
      <c r="B5" s="115" t="s">
        <v>52</v>
      </c>
      <c r="C5" s="115"/>
      <c r="D5" s="87"/>
      <c r="E5" s="87"/>
      <c r="F5" s="87"/>
      <c r="G5" s="29">
        <v>2</v>
      </c>
      <c r="H5" s="115" t="s">
        <v>47</v>
      </c>
      <c r="I5" s="115"/>
      <c r="J5" s="69"/>
      <c r="K5" s="70"/>
      <c r="L5" s="70"/>
      <c r="M5" s="70"/>
      <c r="N5" s="70"/>
      <c r="O5" s="123"/>
      <c r="P5" s="142" t="s">
        <v>3</v>
      </c>
      <c r="Q5" s="142"/>
      <c r="R5" s="30"/>
      <c r="U5" s="10"/>
      <c r="Z5" s="12" t="s">
        <v>58</v>
      </c>
      <c r="AB5" s="16">
        <f>AG10</f>
        <v>0.15</v>
      </c>
      <c r="AD5" s="27"/>
      <c r="AF5" s="12" t="s">
        <v>99</v>
      </c>
      <c r="AG5" s="12">
        <f>IF(ISERR(FIND(AF5,UPPER($J$5),1))=FALSE,0.15,0)</f>
        <v>0</v>
      </c>
    </row>
    <row r="6" spans="1:33" ht="15.75" customHeight="1">
      <c r="A6" s="28">
        <v>2</v>
      </c>
      <c r="B6" s="115" t="s">
        <v>4</v>
      </c>
      <c r="C6" s="115"/>
      <c r="D6" s="69"/>
      <c r="E6" s="70"/>
      <c r="F6" s="123"/>
      <c r="G6" s="29">
        <v>4</v>
      </c>
      <c r="H6" s="115" t="s">
        <v>84</v>
      </c>
      <c r="I6" s="115"/>
      <c r="J6" s="133"/>
      <c r="K6" s="134"/>
      <c r="L6" s="134"/>
      <c r="M6" s="135"/>
      <c r="N6" s="94" t="s">
        <v>5</v>
      </c>
      <c r="O6" s="94"/>
      <c r="P6" s="94" t="s">
        <v>6</v>
      </c>
      <c r="Q6" s="94"/>
      <c r="R6" s="31" t="s">
        <v>7</v>
      </c>
      <c r="U6" s="10"/>
      <c r="Z6" s="12" t="s">
        <v>68</v>
      </c>
      <c r="AB6" s="17" t="e">
        <f>AB3*L19/L21/L21</f>
        <v>#DIV/0!</v>
      </c>
      <c r="AF6" s="12" t="s">
        <v>101</v>
      </c>
      <c r="AG6" s="12">
        <f>IF(ISERR(FIND(AF6,UPPER($J$5),1))=FALSE,IF(AND(ISERR(FIND("SD",UPPER($J$5),1))=FALSE,ISERR(FIND("SDO",UPPER($J$5),1))=TRUE),0.05,0.1),0)</f>
        <v>0</v>
      </c>
    </row>
    <row r="7" spans="1:33" ht="14.25">
      <c r="A7" s="28">
        <v>5</v>
      </c>
      <c r="B7" s="115" t="s">
        <v>36</v>
      </c>
      <c r="C7" s="115"/>
      <c r="D7" s="87"/>
      <c r="E7" s="87"/>
      <c r="F7" s="87"/>
      <c r="G7" s="29">
        <v>6</v>
      </c>
      <c r="H7" s="115" t="s">
        <v>2</v>
      </c>
      <c r="I7" s="115"/>
      <c r="J7" s="87"/>
      <c r="K7" s="87"/>
      <c r="L7" s="87"/>
      <c r="M7" s="87"/>
      <c r="N7" s="88"/>
      <c r="O7" s="88"/>
      <c r="P7" s="88"/>
      <c r="Q7" s="88"/>
      <c r="R7" s="33"/>
      <c r="U7" s="10"/>
      <c r="Z7" s="12" t="s">
        <v>69</v>
      </c>
      <c r="AB7" s="17" t="e">
        <f>AB3*O19/O21/O21</f>
        <v>#DIV/0!</v>
      </c>
      <c r="AF7" s="12" t="s">
        <v>100</v>
      </c>
      <c r="AG7" s="12">
        <f>IF(ISERR(FIND(AF7,UPPER($J$5),1))=FALSE,0.1,0)</f>
        <v>0</v>
      </c>
    </row>
    <row r="8" spans="1:33" ht="15" customHeight="1" thickBot="1">
      <c r="A8" s="34">
        <v>7</v>
      </c>
      <c r="B8" s="131" t="s">
        <v>8</v>
      </c>
      <c r="C8" s="131"/>
      <c r="D8" s="119"/>
      <c r="E8" s="74"/>
      <c r="F8" s="120"/>
      <c r="G8" s="35">
        <v>8</v>
      </c>
      <c r="H8" s="131" t="s">
        <v>9</v>
      </c>
      <c r="I8" s="131"/>
      <c r="J8" s="121"/>
      <c r="K8" s="121"/>
      <c r="L8" s="121"/>
      <c r="M8" s="121"/>
      <c r="N8" s="132"/>
      <c r="O8" s="132"/>
      <c r="P8" s="132"/>
      <c r="Q8" s="132"/>
      <c r="R8" s="36"/>
      <c r="Z8" s="12" t="s">
        <v>60</v>
      </c>
      <c r="AB8" s="17" t="e">
        <f>AB6*IF(L25="NO",1,AB19/0.3/100)</f>
        <v>#DIV/0!</v>
      </c>
      <c r="AF8" s="12" t="s">
        <v>98</v>
      </c>
      <c r="AG8" s="12">
        <f>IF(AND(ISERR(FIND("SD",UPPER($J$5),1))=FALSE,ISERR(FIND("SDO",UPPER($J$5),1))=TRUE),0.05,0)</f>
        <v>0</v>
      </c>
    </row>
    <row r="9" spans="1:33" ht="15.75" thickBot="1">
      <c r="A9" s="125" t="s">
        <v>10</v>
      </c>
      <c r="B9" s="126"/>
      <c r="C9" s="126"/>
      <c r="D9" s="126"/>
      <c r="E9" s="126"/>
      <c r="F9" s="126"/>
      <c r="G9" s="126"/>
      <c r="H9" s="126"/>
      <c r="I9" s="126"/>
      <c r="J9" s="126"/>
      <c r="K9" s="126"/>
      <c r="L9" s="126"/>
      <c r="M9" s="126"/>
      <c r="N9" s="126"/>
      <c r="O9" s="126"/>
      <c r="P9" s="126"/>
      <c r="Q9" s="126"/>
      <c r="R9" s="127"/>
      <c r="Z9" s="12" t="s">
        <v>61</v>
      </c>
      <c r="AB9" s="17" t="e">
        <f>AB7*IF(O25="NO",1,AB21/0.3/100)</f>
        <v>#DIV/0!</v>
      </c>
      <c r="AF9" s="12" t="s">
        <v>97</v>
      </c>
      <c r="AG9" s="12">
        <f>IF(ISERR(FIND(AF9,UPPER($J$5),1))=FALSE,0.1,0)</f>
        <v>0</v>
      </c>
    </row>
    <row r="10" spans="1:33" ht="14.25">
      <c r="A10" s="128" t="s">
        <v>39</v>
      </c>
      <c r="B10" s="129"/>
      <c r="C10" s="129"/>
      <c r="D10" s="129"/>
      <c r="E10" s="129"/>
      <c r="F10" s="129"/>
      <c r="G10" s="129"/>
      <c r="H10" s="129"/>
      <c r="I10" s="129"/>
      <c r="J10" s="129"/>
      <c r="K10" s="129"/>
      <c r="L10" s="129"/>
      <c r="M10" s="129"/>
      <c r="N10" s="129"/>
      <c r="O10" s="129"/>
      <c r="P10" s="129"/>
      <c r="Q10" s="129"/>
      <c r="R10" s="130"/>
      <c r="Z10" s="12" t="s">
        <v>59</v>
      </c>
      <c r="AB10" s="17" t="e">
        <f>AB8+AB5</f>
        <v>#DIV/0!</v>
      </c>
      <c r="AF10" s="12" t="s">
        <v>102</v>
      </c>
      <c r="AG10" s="12">
        <f>AG4-AG5-AG6+AG7+AG8-AG9</f>
        <v>0.15</v>
      </c>
    </row>
    <row r="11" spans="1:28" ht="15" customHeight="1">
      <c r="A11" s="28">
        <v>9</v>
      </c>
      <c r="B11" s="115" t="s">
        <v>41</v>
      </c>
      <c r="C11" s="115"/>
      <c r="D11" s="115"/>
      <c r="E11" s="115"/>
      <c r="F11" s="87"/>
      <c r="G11" s="87"/>
      <c r="H11" s="87"/>
      <c r="I11" s="87"/>
      <c r="J11" s="29">
        <v>10</v>
      </c>
      <c r="K11" s="115" t="s">
        <v>81</v>
      </c>
      <c r="L11" s="115"/>
      <c r="M11" s="115"/>
      <c r="N11" s="87"/>
      <c r="O11" s="87"/>
      <c r="P11" s="87"/>
      <c r="Q11" s="87"/>
      <c r="R11" s="124"/>
      <c r="Z11" s="12" t="s">
        <v>62</v>
      </c>
      <c r="AB11" s="17">
        <f>L18+IF(L20="+",1,-1)*M20/10*N13-F13/760-0.1</f>
        <v>0.9</v>
      </c>
    </row>
    <row r="12" spans="1:29" ht="15" customHeight="1">
      <c r="A12" s="28">
        <v>11</v>
      </c>
      <c r="B12" s="115" t="s">
        <v>42</v>
      </c>
      <c r="C12" s="115"/>
      <c r="D12" s="115"/>
      <c r="E12" s="115"/>
      <c r="F12" s="69"/>
      <c r="G12" s="70"/>
      <c r="H12" s="70"/>
      <c r="I12" s="123"/>
      <c r="J12" s="29">
        <v>12</v>
      </c>
      <c r="K12" s="115" t="s">
        <v>11</v>
      </c>
      <c r="L12" s="115"/>
      <c r="M12" s="115"/>
      <c r="N12" s="87"/>
      <c r="O12" s="87"/>
      <c r="P12" s="87"/>
      <c r="Q12" s="87"/>
      <c r="R12" s="124"/>
      <c r="Z12" s="12" t="s">
        <v>70</v>
      </c>
      <c r="AB12" s="18" t="e">
        <f>AB11-AB10</f>
        <v>#DIV/0!</v>
      </c>
      <c r="AC12" s="12" t="s">
        <v>72</v>
      </c>
    </row>
    <row r="13" spans="1:28" ht="15" customHeight="1">
      <c r="A13" s="28">
        <v>13</v>
      </c>
      <c r="B13" s="115" t="s">
        <v>12</v>
      </c>
      <c r="C13" s="115"/>
      <c r="D13" s="115"/>
      <c r="E13" s="115"/>
      <c r="F13" s="87"/>
      <c r="G13" s="87"/>
      <c r="H13" s="87"/>
      <c r="I13" s="87"/>
      <c r="J13" s="29">
        <v>14</v>
      </c>
      <c r="K13" s="115" t="s">
        <v>13</v>
      </c>
      <c r="L13" s="115"/>
      <c r="M13" s="115"/>
      <c r="N13" s="69"/>
      <c r="O13" s="70"/>
      <c r="P13" s="70"/>
      <c r="Q13" s="70"/>
      <c r="R13" s="71"/>
      <c r="Z13" s="12" t="s">
        <v>71</v>
      </c>
      <c r="AB13" s="17" t="e">
        <f>O18+IF(O20="+",1,-1)*P20*N13/10-L18-IF(L20="+",1,-1)*M20*N13/10-AB8-AB9</f>
        <v>#DIV/0!</v>
      </c>
    </row>
    <row r="14" spans="1:30" ht="15" customHeight="1">
      <c r="A14" s="28">
        <v>15</v>
      </c>
      <c r="B14" s="115" t="s">
        <v>14</v>
      </c>
      <c r="C14" s="115"/>
      <c r="D14" s="115"/>
      <c r="E14" s="115"/>
      <c r="F14" s="87"/>
      <c r="G14" s="87"/>
      <c r="H14" s="87"/>
      <c r="I14" s="87"/>
      <c r="J14" s="29" t="s">
        <v>15</v>
      </c>
      <c r="K14" s="115" t="s">
        <v>16</v>
      </c>
      <c r="L14" s="115"/>
      <c r="M14" s="115"/>
      <c r="N14" s="69" t="s">
        <v>92</v>
      </c>
      <c r="O14" s="70"/>
      <c r="P14" s="70"/>
      <c r="Q14" s="70"/>
      <c r="R14" s="71"/>
      <c r="Z14" s="12" t="s">
        <v>94</v>
      </c>
      <c r="AB14" s="17" t="e">
        <f>IF(AB13&lt;0.4,IF(AB13&lt;-0.6,ABS(AB13-0.4),1),0)</f>
        <v>#DIV/0!</v>
      </c>
      <c r="AC14" s="26" t="e">
        <f>ROUND(AB14,1)</f>
        <v>#DIV/0!</v>
      </c>
      <c r="AD14" s="12" t="e">
        <f>IF(AB13&lt;0.4,ROUND(ABS(AB13-0.4)+0.05,1),0)</f>
        <v>#DIV/0!</v>
      </c>
    </row>
    <row r="15" spans="1:28" ht="22.5" customHeight="1" thickBot="1">
      <c r="A15" s="34" t="s">
        <v>17</v>
      </c>
      <c r="B15" s="116" t="s">
        <v>80</v>
      </c>
      <c r="C15" s="116"/>
      <c r="D15" s="116"/>
      <c r="E15" s="116"/>
      <c r="F15" s="117"/>
      <c r="G15" s="118"/>
      <c r="H15" s="119"/>
      <c r="I15" s="120"/>
      <c r="J15" s="35" t="s">
        <v>18</v>
      </c>
      <c r="K15" s="116" t="s">
        <v>19</v>
      </c>
      <c r="L15" s="116"/>
      <c r="M15" s="116"/>
      <c r="N15" s="121"/>
      <c r="O15" s="121"/>
      <c r="P15" s="121"/>
      <c r="Q15" s="121"/>
      <c r="R15" s="122"/>
      <c r="Z15" s="12" t="s">
        <v>95</v>
      </c>
      <c r="AB15" s="17" t="b">
        <f>IF(O23="YES",IF(Q23&gt;IF(AB14=0,1,AB14),Q23,IF(AB14=0,1,AB14)))</f>
        <v>0</v>
      </c>
    </row>
    <row r="16" spans="1:29" ht="15.75" thickBot="1">
      <c r="A16" s="110" t="s">
        <v>40</v>
      </c>
      <c r="B16" s="111"/>
      <c r="C16" s="111"/>
      <c r="D16" s="111"/>
      <c r="E16" s="111"/>
      <c r="F16" s="111"/>
      <c r="G16" s="111"/>
      <c r="H16" s="111"/>
      <c r="I16" s="111"/>
      <c r="J16" s="111"/>
      <c r="K16" s="111"/>
      <c r="L16" s="111"/>
      <c r="M16" s="111"/>
      <c r="N16" s="111"/>
      <c r="O16" s="111"/>
      <c r="P16" s="111"/>
      <c r="Q16" s="111"/>
      <c r="R16" s="112"/>
      <c r="Z16" s="12" t="s">
        <v>65</v>
      </c>
      <c r="AB16" s="17" t="e">
        <f>AB15+O18+IF(O20="+",1,-1)*P20*N13/10-L18-IF(L20="+",1,-1)*M20*N13/10-AB8-AB9</f>
        <v>#DIV/0!</v>
      </c>
      <c r="AC16" s="12" t="s">
        <v>73</v>
      </c>
    </row>
    <row r="17" spans="1:28" ht="15" customHeight="1">
      <c r="A17" s="113" t="s">
        <v>20</v>
      </c>
      <c r="B17" s="82"/>
      <c r="C17" s="82"/>
      <c r="D17" s="82"/>
      <c r="E17" s="82"/>
      <c r="F17" s="82"/>
      <c r="G17" s="82"/>
      <c r="H17" s="82"/>
      <c r="I17" s="82"/>
      <c r="J17" s="82"/>
      <c r="K17" s="82"/>
      <c r="L17" s="82" t="s">
        <v>21</v>
      </c>
      <c r="M17" s="82"/>
      <c r="N17" s="82"/>
      <c r="O17" s="82" t="s">
        <v>22</v>
      </c>
      <c r="P17" s="82"/>
      <c r="Q17" s="82"/>
      <c r="R17" s="83"/>
      <c r="Z17" s="12" t="s">
        <v>66</v>
      </c>
      <c r="AB17" s="17" t="e">
        <f>L18+IF(L20="+",1,-1)*M20/10*N13+AB8</f>
        <v>#DIV/0!</v>
      </c>
    </row>
    <row r="18" spans="1:28" ht="14.25">
      <c r="A18" s="37">
        <v>17</v>
      </c>
      <c r="B18" s="92" t="s">
        <v>105</v>
      </c>
      <c r="C18" s="92"/>
      <c r="D18" s="92"/>
      <c r="E18" s="92"/>
      <c r="F18" s="92"/>
      <c r="G18" s="92"/>
      <c r="H18" s="92"/>
      <c r="I18" s="92"/>
      <c r="J18" s="92"/>
      <c r="K18" s="92"/>
      <c r="L18" s="88">
        <v>1</v>
      </c>
      <c r="M18" s="88"/>
      <c r="N18" s="88"/>
      <c r="O18" s="88">
        <v>1</v>
      </c>
      <c r="P18" s="88"/>
      <c r="Q18" s="88"/>
      <c r="R18" s="114"/>
      <c r="Z18" s="19" t="s">
        <v>67</v>
      </c>
      <c r="AA18" s="19"/>
      <c r="AB18" s="20" t="e">
        <f>MAX(J6,O18+IF(O20="+",1,-1)*P20*N13/10+AB9+AB15)</f>
        <v>#DIV/0!</v>
      </c>
    </row>
    <row r="19" spans="1:28" ht="14.25">
      <c r="A19" s="37">
        <v>18</v>
      </c>
      <c r="B19" s="92" t="s">
        <v>23</v>
      </c>
      <c r="C19" s="92"/>
      <c r="D19" s="92"/>
      <c r="E19" s="92"/>
      <c r="F19" s="92"/>
      <c r="G19" s="92"/>
      <c r="H19" s="92"/>
      <c r="I19" s="92"/>
      <c r="J19" s="92"/>
      <c r="K19" s="92"/>
      <c r="L19" s="89"/>
      <c r="M19" s="90"/>
      <c r="N19" s="106"/>
      <c r="O19" s="89"/>
      <c r="P19" s="90"/>
      <c r="Q19" s="90"/>
      <c r="R19" s="91"/>
      <c r="Z19" s="12" t="s">
        <v>77</v>
      </c>
      <c r="AB19" s="21">
        <f>G25</f>
        <v>3</v>
      </c>
    </row>
    <row r="20" spans="1:30" ht="14.25">
      <c r="A20" s="37">
        <v>19</v>
      </c>
      <c r="B20" s="92" t="s">
        <v>104</v>
      </c>
      <c r="C20" s="92"/>
      <c r="D20" s="92"/>
      <c r="E20" s="92"/>
      <c r="F20" s="92"/>
      <c r="G20" s="92"/>
      <c r="H20" s="92"/>
      <c r="I20" s="92"/>
      <c r="J20" s="92"/>
      <c r="K20" s="92"/>
      <c r="L20" s="39" t="s">
        <v>48</v>
      </c>
      <c r="M20" s="89"/>
      <c r="N20" s="106"/>
      <c r="O20" s="39" t="s">
        <v>48</v>
      </c>
      <c r="P20" s="89"/>
      <c r="Q20" s="90"/>
      <c r="R20" s="91"/>
      <c r="Z20" s="12" t="s">
        <v>74</v>
      </c>
      <c r="AB20" s="21" t="e">
        <f>IF(AC20&lt;=0.55,0.5,IF(AC20&lt;=1.1,1,IF(AC20&lt;=2.2,2,IF(AC20&lt;=3.3,3,IF(AC20&lt;=5.5,5,IF(AC20&lt;=7.7,7,IF(AC20&lt;=11,10,IF(AC20&lt;=17.6,16,AD20))))))))</f>
        <v>#DIV/0!</v>
      </c>
      <c r="AC20" s="21" t="e">
        <f>ROUND((D6*AE1/60/D8)/((1/AB17/(1-AB19/100))^0.7193-(1/AB17/(1+AB19/100))^0.7193),1)</f>
        <v>#DIV/0!</v>
      </c>
      <c r="AD20" s="12" t="e">
        <f>IF(AC20&lt;=33,30,IF(AC20&lt;=44,40,IF(AC20&lt;=66,60,AC20)))</f>
        <v>#DIV/0!</v>
      </c>
    </row>
    <row r="21" spans="1:28" ht="14.25">
      <c r="A21" s="37">
        <v>20</v>
      </c>
      <c r="B21" s="92" t="s">
        <v>106</v>
      </c>
      <c r="C21" s="92"/>
      <c r="D21" s="92"/>
      <c r="E21" s="92"/>
      <c r="F21" s="92"/>
      <c r="G21" s="92"/>
      <c r="H21" s="92"/>
      <c r="I21" s="92"/>
      <c r="J21" s="92"/>
      <c r="K21" s="92"/>
      <c r="L21" s="89"/>
      <c r="M21" s="90"/>
      <c r="N21" s="106"/>
      <c r="O21" s="89"/>
      <c r="P21" s="90"/>
      <c r="Q21" s="90"/>
      <c r="R21" s="91"/>
      <c r="Z21" s="12" t="s">
        <v>76</v>
      </c>
      <c r="AB21" s="21">
        <f>G25</f>
        <v>3</v>
      </c>
    </row>
    <row r="22" spans="1:30" ht="14.25">
      <c r="A22" s="37">
        <v>21</v>
      </c>
      <c r="B22" s="92" t="s">
        <v>107</v>
      </c>
      <c r="C22" s="92"/>
      <c r="D22" s="92"/>
      <c r="E22" s="92"/>
      <c r="F22" s="92"/>
      <c r="G22" s="92"/>
      <c r="H22" s="92"/>
      <c r="I22" s="92"/>
      <c r="J22" s="92"/>
      <c r="K22" s="92"/>
      <c r="L22" s="89" t="s">
        <v>93</v>
      </c>
      <c r="M22" s="90"/>
      <c r="N22" s="106"/>
      <c r="O22" s="97" t="s">
        <v>24</v>
      </c>
      <c r="P22" s="108"/>
      <c r="Q22" s="108"/>
      <c r="R22" s="109"/>
      <c r="Z22" s="12" t="s">
        <v>75</v>
      </c>
      <c r="AB22" s="21" t="e">
        <f>IF(AC22&lt;=0.55,0.5,IF(AC22&lt;=1.1,1,IF(AC22&lt;=2.2,2,IF(AC22&lt;=3.3,3,IF(AC22&lt;=5.5,5,IF(AC22&lt;=7.7,7,IF(AC22&lt;=11,10,IF(AC22&lt;=17.6,16,AD22))))))))</f>
        <v>#DIV/0!</v>
      </c>
      <c r="AC22" s="12" t="e">
        <f>ROUND((D6*AE1/60/D8)/((1/AB18/(1-AB21/100))^0.7193-(1/AB18/(1+AB21/100))^0.7193),1)</f>
        <v>#DIV/0!</v>
      </c>
      <c r="AD22" s="12" t="e">
        <f>IF(AC22&lt;=33,30,IF(AC22&lt;=44,40,IF(AC22&lt;=66,60,AC22)))</f>
        <v>#DIV/0!</v>
      </c>
    </row>
    <row r="23" spans="1:29" ht="14.25">
      <c r="A23" s="37">
        <v>22</v>
      </c>
      <c r="B23" s="92" t="s">
        <v>49</v>
      </c>
      <c r="C23" s="92"/>
      <c r="D23" s="92"/>
      <c r="E23" s="92"/>
      <c r="F23" s="92"/>
      <c r="G23" s="92"/>
      <c r="H23" s="92"/>
      <c r="I23" s="92"/>
      <c r="J23" s="92"/>
      <c r="K23" s="92"/>
      <c r="L23" s="94" t="s">
        <v>24</v>
      </c>
      <c r="M23" s="94"/>
      <c r="N23" s="94"/>
      <c r="O23" s="89"/>
      <c r="P23" s="106"/>
      <c r="Q23" s="90"/>
      <c r="R23" s="91"/>
      <c r="Z23" s="12" t="s">
        <v>78</v>
      </c>
      <c r="AB23" s="22" t="e">
        <f>IF(ROUND(AB15+O18+IF(O20="+",1,-1)*P20*N13/10+AB9,1)&lt;=10,AB15+O18+IF(O20="+",1,-1)*P20*N13/10+AB9,(AB15+O18+IF(O20="+",1,-1)*P20*N13/10+AB9)*1.05)</f>
        <v>#DIV/0!</v>
      </c>
      <c r="AC23" s="12" t="s">
        <v>82</v>
      </c>
    </row>
    <row r="24" spans="1:18" ht="14.25">
      <c r="A24" s="37">
        <v>23</v>
      </c>
      <c r="B24" s="92" t="s">
        <v>43</v>
      </c>
      <c r="C24" s="92"/>
      <c r="D24" s="92"/>
      <c r="E24" s="92"/>
      <c r="F24" s="92"/>
      <c r="G24" s="107"/>
      <c r="H24" s="92"/>
      <c r="I24" s="92"/>
      <c r="J24" s="92"/>
      <c r="K24" s="92"/>
      <c r="L24" s="94" t="s">
        <v>24</v>
      </c>
      <c r="M24" s="94"/>
      <c r="N24" s="94"/>
      <c r="O24" s="89">
        <f>J6+1</f>
        <v>1</v>
      </c>
      <c r="P24" s="90"/>
      <c r="Q24" s="90"/>
      <c r="R24" s="91"/>
    </row>
    <row r="25" spans="1:27" ht="15" customHeight="1">
      <c r="A25" s="37">
        <v>24</v>
      </c>
      <c r="B25" s="67" t="s">
        <v>110</v>
      </c>
      <c r="C25" s="95"/>
      <c r="D25" s="95"/>
      <c r="E25" s="95"/>
      <c r="F25" s="95"/>
      <c r="G25" s="40">
        <v>3</v>
      </c>
      <c r="H25" s="104" t="s">
        <v>111</v>
      </c>
      <c r="I25" s="104"/>
      <c r="J25" s="104"/>
      <c r="K25" s="105"/>
      <c r="L25" s="88" t="s">
        <v>92</v>
      </c>
      <c r="M25" s="88"/>
      <c r="N25" s="32"/>
      <c r="O25" s="88" t="s">
        <v>92</v>
      </c>
      <c r="P25" s="88"/>
      <c r="Q25" s="89"/>
      <c r="R25" s="91"/>
      <c r="Z25" s="12">
        <f>IF(J6&lt;10,J6+1,J6*1.1)</f>
        <v>1</v>
      </c>
      <c r="AA25" s="12" t="s">
        <v>83</v>
      </c>
    </row>
    <row r="26" spans="1:26" ht="14.25">
      <c r="A26" s="37"/>
      <c r="B26" s="97"/>
      <c r="C26" s="98"/>
      <c r="D26" s="99" t="s">
        <v>21</v>
      </c>
      <c r="E26" s="100"/>
      <c r="F26" s="100"/>
      <c r="G26" s="101"/>
      <c r="H26" s="102"/>
      <c r="I26" s="99" t="s">
        <v>22</v>
      </c>
      <c r="J26" s="100"/>
      <c r="K26" s="100"/>
      <c r="L26" s="100"/>
      <c r="M26" s="100"/>
      <c r="N26" s="100"/>
      <c r="O26" s="100"/>
      <c r="P26" s="100"/>
      <c r="Q26" s="100"/>
      <c r="R26" s="103"/>
      <c r="Z26" s="12" t="e">
        <f>ROUND(IF(AB23&lt;10,AB23+1,AB23*1.1),1)</f>
        <v>#DIV/0!</v>
      </c>
    </row>
    <row r="27" spans="1:18" ht="14.25">
      <c r="A27" s="37"/>
      <c r="B27" s="67" t="s">
        <v>51</v>
      </c>
      <c r="C27" s="68"/>
      <c r="D27" s="38" t="s">
        <v>25</v>
      </c>
      <c r="E27" s="38" t="s">
        <v>26</v>
      </c>
      <c r="F27" s="92" t="s">
        <v>27</v>
      </c>
      <c r="G27" s="92"/>
      <c r="H27" s="92"/>
      <c r="I27" s="92" t="s">
        <v>25</v>
      </c>
      <c r="J27" s="92"/>
      <c r="K27" s="92"/>
      <c r="L27" s="94" t="s">
        <v>26</v>
      </c>
      <c r="M27" s="94"/>
      <c r="N27" s="67" t="s">
        <v>28</v>
      </c>
      <c r="O27" s="95"/>
      <c r="P27" s="95"/>
      <c r="Q27" s="95"/>
      <c r="R27" s="96"/>
    </row>
    <row r="28" spans="1:18" ht="15" customHeight="1">
      <c r="A28" s="37">
        <v>25</v>
      </c>
      <c r="B28" s="92" t="s">
        <v>29</v>
      </c>
      <c r="C28" s="92"/>
      <c r="D28" s="41"/>
      <c r="E28" s="41"/>
      <c r="F28" s="93"/>
      <c r="G28" s="93"/>
      <c r="H28" s="93"/>
      <c r="I28" s="93"/>
      <c r="J28" s="93"/>
      <c r="K28" s="93"/>
      <c r="L28" s="88"/>
      <c r="M28" s="88"/>
      <c r="N28" s="89"/>
      <c r="O28" s="90"/>
      <c r="P28" s="90"/>
      <c r="Q28" s="90"/>
      <c r="R28" s="91"/>
    </row>
    <row r="29" spans="1:18" ht="14.25">
      <c r="A29" s="37">
        <v>26</v>
      </c>
      <c r="B29" s="92" t="s">
        <v>30</v>
      </c>
      <c r="C29" s="92"/>
      <c r="D29" s="41"/>
      <c r="E29" s="41"/>
      <c r="F29" s="93"/>
      <c r="G29" s="93"/>
      <c r="H29" s="93"/>
      <c r="I29" s="93"/>
      <c r="J29" s="93"/>
      <c r="K29" s="93"/>
      <c r="L29" s="88"/>
      <c r="M29" s="88"/>
      <c r="N29" s="89"/>
      <c r="O29" s="90"/>
      <c r="P29" s="90"/>
      <c r="Q29" s="90"/>
      <c r="R29" s="91"/>
    </row>
    <row r="30" spans="1:18" ht="14.25">
      <c r="A30" s="37">
        <v>27</v>
      </c>
      <c r="B30" s="87" t="s">
        <v>108</v>
      </c>
      <c r="C30" s="87"/>
      <c r="D30" s="41"/>
      <c r="E30" s="41"/>
      <c r="F30" s="88"/>
      <c r="G30" s="88"/>
      <c r="H30" s="88"/>
      <c r="I30" s="88"/>
      <c r="J30" s="88"/>
      <c r="K30" s="88"/>
      <c r="L30" s="88"/>
      <c r="M30" s="88"/>
      <c r="N30" s="89"/>
      <c r="O30" s="90"/>
      <c r="P30" s="90"/>
      <c r="Q30" s="90"/>
      <c r="R30" s="91"/>
    </row>
    <row r="31" spans="1:18" ht="14.25">
      <c r="A31" s="37">
        <v>28</v>
      </c>
      <c r="B31" s="87" t="s">
        <v>109</v>
      </c>
      <c r="C31" s="87"/>
      <c r="D31" s="41"/>
      <c r="E31" s="41"/>
      <c r="F31" s="88"/>
      <c r="G31" s="88"/>
      <c r="H31" s="88"/>
      <c r="I31" s="88"/>
      <c r="J31" s="88"/>
      <c r="K31" s="88"/>
      <c r="L31" s="88"/>
      <c r="M31" s="88"/>
      <c r="N31" s="89"/>
      <c r="O31" s="90"/>
      <c r="P31" s="90"/>
      <c r="Q31" s="90"/>
      <c r="R31" s="91"/>
    </row>
    <row r="32" spans="1:18" ht="14.25">
      <c r="A32" s="37">
        <v>29</v>
      </c>
      <c r="B32" s="87" t="s">
        <v>109</v>
      </c>
      <c r="C32" s="87"/>
      <c r="D32" s="41"/>
      <c r="E32" s="41"/>
      <c r="F32" s="88"/>
      <c r="G32" s="88"/>
      <c r="H32" s="88"/>
      <c r="I32" s="88"/>
      <c r="J32" s="88"/>
      <c r="K32" s="88"/>
      <c r="L32" s="88"/>
      <c r="M32" s="88"/>
      <c r="N32" s="89"/>
      <c r="O32" s="90"/>
      <c r="P32" s="90"/>
      <c r="Q32" s="90"/>
      <c r="R32" s="91"/>
    </row>
    <row r="33" spans="1:18" ht="14.25">
      <c r="A33" s="37">
        <v>30</v>
      </c>
      <c r="B33" s="67" t="s">
        <v>31</v>
      </c>
      <c r="C33" s="68"/>
      <c r="D33" s="69"/>
      <c r="E33" s="70"/>
      <c r="F33" s="70"/>
      <c r="G33" s="70"/>
      <c r="H33" s="70"/>
      <c r="I33" s="70"/>
      <c r="J33" s="70"/>
      <c r="K33" s="70"/>
      <c r="L33" s="70"/>
      <c r="M33" s="70"/>
      <c r="N33" s="70"/>
      <c r="O33" s="70"/>
      <c r="P33" s="70"/>
      <c r="Q33" s="70"/>
      <c r="R33" s="71"/>
    </row>
    <row r="34" spans="1:18" ht="15" customHeight="1" thickBot="1">
      <c r="A34" s="42">
        <v>31</v>
      </c>
      <c r="B34" s="72" t="s">
        <v>32</v>
      </c>
      <c r="C34" s="73"/>
      <c r="D34" s="74"/>
      <c r="E34" s="74"/>
      <c r="F34" s="74"/>
      <c r="G34" s="74"/>
      <c r="H34" s="74"/>
      <c r="I34" s="74"/>
      <c r="J34" s="74"/>
      <c r="K34" s="74"/>
      <c r="L34" s="74"/>
      <c r="M34" s="74"/>
      <c r="N34" s="74"/>
      <c r="O34" s="74"/>
      <c r="P34" s="74"/>
      <c r="Q34" s="74"/>
      <c r="R34" s="75"/>
    </row>
    <row r="35" spans="1:18" ht="14.25">
      <c r="A35" s="76"/>
      <c r="B35" s="77"/>
      <c r="C35" s="77"/>
      <c r="D35" s="77"/>
      <c r="E35" s="77"/>
      <c r="F35" s="77"/>
      <c r="G35" s="77"/>
      <c r="H35" s="77"/>
      <c r="I35" s="77"/>
      <c r="J35" s="77"/>
      <c r="K35" s="77"/>
      <c r="L35" s="77"/>
      <c r="M35" s="82" t="s">
        <v>79</v>
      </c>
      <c r="N35" s="82"/>
      <c r="O35" s="82"/>
      <c r="P35" s="82"/>
      <c r="Q35" s="82"/>
      <c r="R35" s="83"/>
    </row>
    <row r="36" spans="1:26" ht="14.25">
      <c r="A36" s="78"/>
      <c r="B36" s="79"/>
      <c r="C36" s="79"/>
      <c r="D36" s="79"/>
      <c r="E36" s="79"/>
      <c r="F36" s="79"/>
      <c r="G36" s="79"/>
      <c r="H36" s="79"/>
      <c r="I36" s="79"/>
      <c r="J36" s="79"/>
      <c r="K36" s="79"/>
      <c r="L36" s="79"/>
      <c r="M36" s="84"/>
      <c r="N36" s="85"/>
      <c r="O36" s="85"/>
      <c r="P36" s="85"/>
      <c r="Q36" s="85"/>
      <c r="R36" s="86"/>
      <c r="Z36" s="12" t="e">
        <f>"NPSHA = "&amp;ROUND(AB11*10/N13,1)&amp;" MLC"</f>
        <v>#DIV/0!</v>
      </c>
    </row>
    <row r="37" spans="1:26" ht="14.25">
      <c r="A37" s="78"/>
      <c r="B37" s="79"/>
      <c r="C37" s="79"/>
      <c r="D37" s="79"/>
      <c r="E37" s="79"/>
      <c r="F37" s="79"/>
      <c r="G37" s="79"/>
      <c r="H37" s="79"/>
      <c r="I37" s="79"/>
      <c r="J37" s="79"/>
      <c r="K37" s="79"/>
      <c r="L37" s="79"/>
      <c r="M37" s="58"/>
      <c r="N37" s="59"/>
      <c r="O37" s="59"/>
      <c r="P37" s="59"/>
      <c r="Q37" s="59"/>
      <c r="R37" s="60"/>
      <c r="Z37" s="12" t="e">
        <f>"NPSHR = "&amp;ROUND(AB10*10/N13,1)&amp;" MLC"</f>
        <v>#DIV/0!</v>
      </c>
    </row>
    <row r="38" spans="1:26" ht="14.25">
      <c r="A38" s="78"/>
      <c r="B38" s="79"/>
      <c r="C38" s="79"/>
      <c r="D38" s="79"/>
      <c r="E38" s="79"/>
      <c r="F38" s="79"/>
      <c r="G38" s="79"/>
      <c r="H38" s="79"/>
      <c r="I38" s="79"/>
      <c r="J38" s="79"/>
      <c r="K38" s="79"/>
      <c r="L38" s="79"/>
      <c r="M38" s="58"/>
      <c r="N38" s="59"/>
      <c r="O38" s="59"/>
      <c r="P38" s="59"/>
      <c r="Q38" s="59"/>
      <c r="R38" s="60"/>
      <c r="Z38" s="12" t="e">
        <f>IF(OR(ROUND(AB12,2)&lt;0.1,ROUND(AB16,2)&lt;0.4),"Increase Suction Pipe NB","")</f>
        <v>#DIV/0!</v>
      </c>
    </row>
    <row r="39" spans="1:26" ht="14.25">
      <c r="A39" s="78"/>
      <c r="B39" s="79"/>
      <c r="C39" s="79"/>
      <c r="D39" s="79"/>
      <c r="E39" s="79"/>
      <c r="F39" s="79"/>
      <c r="G39" s="79"/>
      <c r="H39" s="79"/>
      <c r="I39" s="79"/>
      <c r="J39" s="79"/>
      <c r="K39" s="79"/>
      <c r="L39" s="79"/>
      <c r="M39" s="58"/>
      <c r="N39" s="59"/>
      <c r="O39" s="59"/>
      <c r="P39" s="59"/>
      <c r="Q39" s="59"/>
      <c r="R39" s="60"/>
      <c r="Z39" s="12" t="e">
        <f>IF(OR(ROUND(AB12,2)&lt;0.1,ROUND(AB16,2)&lt;0.4),"Increase Suction Static Head","")</f>
        <v>#DIV/0!</v>
      </c>
    </row>
    <row r="40" spans="1:26" ht="14.25">
      <c r="A40" s="78"/>
      <c r="B40" s="79"/>
      <c r="C40" s="79"/>
      <c r="D40" s="79"/>
      <c r="E40" s="79"/>
      <c r="F40" s="79"/>
      <c r="G40" s="79"/>
      <c r="H40" s="79"/>
      <c r="I40" s="79"/>
      <c r="J40" s="79"/>
      <c r="K40" s="79"/>
      <c r="L40" s="79"/>
      <c r="M40" s="58"/>
      <c r="N40" s="59"/>
      <c r="O40" s="59"/>
      <c r="P40" s="59"/>
      <c r="Q40" s="59"/>
      <c r="R40" s="60"/>
      <c r="Z40" s="12" t="e">
        <f>IF(OR(ROUND(AB12,2)&lt;0.1,ROUND(AB16,2)&lt;0.4),"Reduce Suction Pipe Horizontal Length","")</f>
        <v>#DIV/0!</v>
      </c>
    </row>
    <row r="41" spans="1:26" ht="14.25">
      <c r="A41" s="78"/>
      <c r="B41" s="79"/>
      <c r="C41" s="79"/>
      <c r="D41" s="79"/>
      <c r="E41" s="79"/>
      <c r="F41" s="79"/>
      <c r="G41" s="79"/>
      <c r="H41" s="79"/>
      <c r="I41" s="79"/>
      <c r="J41" s="79"/>
      <c r="K41" s="79"/>
      <c r="L41" s="79"/>
      <c r="M41" s="58"/>
      <c r="N41" s="59"/>
      <c r="O41" s="59"/>
      <c r="P41" s="59"/>
      <c r="Q41" s="59"/>
      <c r="R41" s="60"/>
      <c r="Z41" s="12" t="e">
        <f>IF(OR(AND(ROUND(AB12,2)&lt;0.1,L25="NO"),AND(ROUND(AB16,2)&lt;0.4,L25="NO")),"Provide Suction Damper of Minimum "&amp;ROUND(AB20,1)&amp;" Lit","")</f>
        <v>#DIV/0!</v>
      </c>
    </row>
    <row r="42" spans="1:26" ht="14.25">
      <c r="A42" s="78"/>
      <c r="B42" s="79"/>
      <c r="C42" s="79"/>
      <c r="D42" s="79"/>
      <c r="E42" s="79"/>
      <c r="F42" s="79"/>
      <c r="G42" s="79"/>
      <c r="H42" s="79"/>
      <c r="I42" s="79"/>
      <c r="J42" s="79"/>
      <c r="K42" s="79"/>
      <c r="L42" s="79"/>
      <c r="M42" s="64"/>
      <c r="N42" s="65"/>
      <c r="O42" s="65"/>
      <c r="P42" s="65"/>
      <c r="Q42" s="65"/>
      <c r="R42" s="66"/>
      <c r="Z42" s="12" t="e">
        <f>IF(AND(ROUND(AB16,2)&lt;0.4,O23="NO"),"Provide Back Pressure valve @ "&amp;ROUND(IF(ABS(AB13-0.4)&lt;1,1,ABS(AB13-0.4)),1)&amp;" Kg/cm sq","")</f>
        <v>#DIV/0!</v>
      </c>
    </row>
    <row r="43" spans="1:26" ht="14.25">
      <c r="A43" s="78"/>
      <c r="B43" s="79"/>
      <c r="C43" s="79"/>
      <c r="D43" s="79"/>
      <c r="E43" s="79"/>
      <c r="F43" s="79"/>
      <c r="G43" s="79"/>
      <c r="H43" s="79"/>
      <c r="I43" s="79"/>
      <c r="J43" s="79"/>
      <c r="K43" s="79"/>
      <c r="L43" s="79"/>
      <c r="M43" s="58"/>
      <c r="N43" s="59"/>
      <c r="O43" s="59"/>
      <c r="P43" s="59"/>
      <c r="Q43" s="59"/>
      <c r="R43" s="60"/>
      <c r="Z43" s="12" t="e">
        <f>IF(OR(ROUND(AB16,2)&lt;0.4,AND(J6&lt;ROUND(AB23,1),ROUND(AB9/AB23,2)&gt;0.2)),"Increse Discharge Pipe NB","")</f>
        <v>#DIV/0!</v>
      </c>
    </row>
    <row r="44" spans="1:26" ht="14.25">
      <c r="A44" s="78"/>
      <c r="B44" s="79"/>
      <c r="C44" s="79"/>
      <c r="D44" s="79"/>
      <c r="E44" s="79"/>
      <c r="F44" s="79"/>
      <c r="G44" s="79"/>
      <c r="H44" s="79"/>
      <c r="I44" s="79"/>
      <c r="J44" s="79"/>
      <c r="K44" s="79"/>
      <c r="L44" s="79"/>
      <c r="M44" s="58"/>
      <c r="N44" s="59"/>
      <c r="O44" s="59"/>
      <c r="P44" s="59"/>
      <c r="Q44" s="59"/>
      <c r="R44" s="60"/>
      <c r="Z44" s="12" t="e">
        <f>IF(OR(ROUND(AB16,2)&lt;0.4,AND(J6&lt;ROUND(AB23,1),ROUND(AB9/AB23,2)&gt;0.2)),"Reduce Discharge Pipe Horizontal Lenght","")</f>
        <v>#DIV/0!</v>
      </c>
    </row>
    <row r="45" spans="1:26" ht="14.25">
      <c r="A45" s="78"/>
      <c r="B45" s="79"/>
      <c r="C45" s="79"/>
      <c r="D45" s="79"/>
      <c r="E45" s="79"/>
      <c r="F45" s="79"/>
      <c r="G45" s="79"/>
      <c r="H45" s="79"/>
      <c r="I45" s="79"/>
      <c r="J45" s="79"/>
      <c r="K45" s="79"/>
      <c r="L45" s="79"/>
      <c r="M45" s="58"/>
      <c r="N45" s="59"/>
      <c r="O45" s="59"/>
      <c r="P45" s="59"/>
      <c r="Q45" s="59"/>
      <c r="R45" s="60"/>
      <c r="Z45" s="12" t="e">
        <f>IF(OR(AND(ROUND(AB16,2)&lt;0.4,O25="NO"),AND(J6&lt;ROUND(AB23,1),O25="NO",ROUND(AB9/AB23,2)&gt;0.2)),"Provide Discharge Damper of "&amp;ROUND(AB22,1)&amp;" Lit","")</f>
        <v>#DIV/0!</v>
      </c>
    </row>
    <row r="46" spans="1:26" ht="14.25">
      <c r="A46" s="78"/>
      <c r="B46" s="79"/>
      <c r="C46" s="79"/>
      <c r="D46" s="79"/>
      <c r="E46" s="79"/>
      <c r="F46" s="79"/>
      <c r="G46" s="79"/>
      <c r="H46" s="79"/>
      <c r="I46" s="79"/>
      <c r="J46" s="79"/>
      <c r="K46" s="79"/>
      <c r="L46" s="79"/>
      <c r="M46" s="58"/>
      <c r="N46" s="59"/>
      <c r="O46" s="59"/>
      <c r="P46" s="59"/>
      <c r="Q46" s="59"/>
      <c r="R46" s="60"/>
      <c r="U46" s="1"/>
      <c r="Z46" s="12" t="e">
        <f>IF(AND(L25="YES",N25&lt;AB20*0.95),"Increase Suction Damper Volume to "&amp;ROUND(AB20,1)&amp;" Lit","")</f>
        <v>#DIV/0!</v>
      </c>
    </row>
    <row r="47" spans="1:26" ht="14.25">
      <c r="A47" s="78"/>
      <c r="B47" s="79"/>
      <c r="C47" s="79"/>
      <c r="D47" s="79"/>
      <c r="E47" s="79"/>
      <c r="F47" s="79"/>
      <c r="G47" s="79"/>
      <c r="H47" s="79"/>
      <c r="I47" s="79"/>
      <c r="J47" s="79"/>
      <c r="K47" s="79"/>
      <c r="L47" s="79"/>
      <c r="M47" s="58"/>
      <c r="N47" s="59"/>
      <c r="O47" s="59"/>
      <c r="P47" s="59"/>
      <c r="Q47" s="59"/>
      <c r="R47" s="60"/>
      <c r="Z47" s="12" t="e">
        <f>IF(AND(O25="YES",Q25&lt;AB22*0.95),"Increase Discharge Damper Volume to "&amp;ROUND(AB22,1)&amp;" Lit","")</f>
        <v>#DIV/0!</v>
      </c>
    </row>
    <row r="48" spans="1:26" ht="14.25">
      <c r="A48" s="78"/>
      <c r="B48" s="79"/>
      <c r="C48" s="79"/>
      <c r="D48" s="79"/>
      <c r="E48" s="79"/>
      <c r="F48" s="79"/>
      <c r="G48" s="79"/>
      <c r="H48" s="79"/>
      <c r="I48" s="79"/>
      <c r="J48" s="79"/>
      <c r="K48" s="79"/>
      <c r="L48" s="79"/>
      <c r="M48" s="58"/>
      <c r="N48" s="59"/>
      <c r="O48" s="59"/>
      <c r="P48" s="59"/>
      <c r="Q48" s="59"/>
      <c r="R48" s="60"/>
      <c r="Z48" s="12" t="e">
        <f>IF(AND(O23="YES",Q23&lt;ROUND(AB14,1)),"Increase BPV Setting to "&amp;ROUND(AB14,1)&amp;" Kg/Cm Sq",IF(AND(O23="YES",AB14=0),"BPV is not required",IF(AND(O23="YES",Q23&gt;ROUND(AB14*1.05,1)),"Reduce BPV Setting to "&amp;ROUND(AB14,1)&amp;" Kg/Cm Sq","")))</f>
        <v>#DIV/0!</v>
      </c>
    </row>
    <row r="49" spans="1:26" ht="14.25">
      <c r="A49" s="78"/>
      <c r="B49" s="79"/>
      <c r="C49" s="79"/>
      <c r="D49" s="79"/>
      <c r="E49" s="79"/>
      <c r="F49" s="79"/>
      <c r="G49" s="79"/>
      <c r="H49" s="79"/>
      <c r="I49" s="79"/>
      <c r="J49" s="79"/>
      <c r="K49" s="79"/>
      <c r="L49" s="79"/>
      <c r="M49" s="58"/>
      <c r="N49" s="59"/>
      <c r="O49" s="59"/>
      <c r="P49" s="59"/>
      <c r="Q49" s="59"/>
      <c r="R49" s="60"/>
      <c r="Z49" s="12" t="e">
        <f>IF(J6&lt;ROUND(AB23,1),"Required Min Pump Disch Pr ="&amp;ROUND(AB23,1)&amp;" Kg/cm sq","")</f>
        <v>#DIV/0!</v>
      </c>
    </row>
    <row r="50" spans="1:26" ht="14.25">
      <c r="A50" s="78"/>
      <c r="B50" s="79"/>
      <c r="C50" s="79"/>
      <c r="D50" s="79"/>
      <c r="E50" s="79"/>
      <c r="F50" s="79"/>
      <c r="G50" s="79"/>
      <c r="H50" s="79"/>
      <c r="I50" s="79"/>
      <c r="J50" s="79"/>
      <c r="K50" s="79"/>
      <c r="L50" s="79"/>
      <c r="M50" s="58"/>
      <c r="N50" s="59"/>
      <c r="O50" s="59"/>
      <c r="P50" s="59"/>
      <c r="Q50" s="59"/>
      <c r="R50" s="60"/>
      <c r="Z50" s="12" t="e">
        <f>IF(O24&lt;ROUND(IF(AB23&lt;10,AB23+1,AB23*1.1),1),"Required Min SRV Set Pr = "&amp;ROUND(IF(AB23&lt;10,AB23+1,AB23*1.1),1)&amp;" Kg/cm sq","")</f>
        <v>#DIV/0!</v>
      </c>
    </row>
    <row r="51" spans="1:26" ht="14.25">
      <c r="A51" s="78"/>
      <c r="B51" s="79"/>
      <c r="C51" s="79"/>
      <c r="D51" s="79"/>
      <c r="E51" s="79"/>
      <c r="F51" s="79"/>
      <c r="G51" s="79"/>
      <c r="H51" s="79"/>
      <c r="I51" s="79"/>
      <c r="J51" s="79"/>
      <c r="K51" s="79"/>
      <c r="L51" s="79"/>
      <c r="M51" s="58"/>
      <c r="N51" s="59"/>
      <c r="O51" s="59"/>
      <c r="P51" s="59"/>
      <c r="Q51" s="59"/>
      <c r="R51" s="60"/>
      <c r="Z51" s="12">
        <f>IF(L22="NO","Suction Strainer is Mandatory","")</f>
      </c>
    </row>
    <row r="52" spans="1:18" ht="14.25">
      <c r="A52" s="78"/>
      <c r="B52" s="79"/>
      <c r="C52" s="79"/>
      <c r="D52" s="79"/>
      <c r="E52" s="79"/>
      <c r="F52" s="79"/>
      <c r="G52" s="79"/>
      <c r="H52" s="79"/>
      <c r="I52" s="79"/>
      <c r="J52" s="79"/>
      <c r="K52" s="79"/>
      <c r="L52" s="79"/>
      <c r="M52" s="58"/>
      <c r="N52" s="59"/>
      <c r="O52" s="59"/>
      <c r="P52" s="59"/>
      <c r="Q52" s="59"/>
      <c r="R52" s="60"/>
    </row>
    <row r="53" spans="1:18" ht="14.25">
      <c r="A53" s="78"/>
      <c r="B53" s="79"/>
      <c r="C53" s="79"/>
      <c r="D53" s="79"/>
      <c r="E53" s="79"/>
      <c r="F53" s="79"/>
      <c r="G53" s="79"/>
      <c r="H53" s="79"/>
      <c r="I53" s="79"/>
      <c r="J53" s="79"/>
      <c r="K53" s="79"/>
      <c r="L53" s="79"/>
      <c r="M53" s="58"/>
      <c r="N53" s="59"/>
      <c r="O53" s="59"/>
      <c r="P53" s="59"/>
      <c r="Q53" s="59"/>
      <c r="R53" s="60"/>
    </row>
    <row r="54" spans="1:18" ht="14.25">
      <c r="A54" s="78"/>
      <c r="B54" s="79"/>
      <c r="C54" s="79"/>
      <c r="D54" s="79"/>
      <c r="E54" s="79"/>
      <c r="F54" s="79"/>
      <c r="G54" s="79"/>
      <c r="H54" s="79"/>
      <c r="I54" s="79"/>
      <c r="J54" s="79"/>
      <c r="K54" s="79"/>
      <c r="L54" s="79"/>
      <c r="M54" s="58"/>
      <c r="N54" s="59"/>
      <c r="O54" s="59"/>
      <c r="P54" s="59"/>
      <c r="Q54" s="59"/>
      <c r="R54" s="60"/>
    </row>
    <row r="55" spans="1:18" ht="14.25">
      <c r="A55" s="78"/>
      <c r="B55" s="79"/>
      <c r="C55" s="79"/>
      <c r="D55" s="79"/>
      <c r="E55" s="79"/>
      <c r="F55" s="79"/>
      <c r="G55" s="79"/>
      <c r="H55" s="79"/>
      <c r="I55" s="79"/>
      <c r="J55" s="79"/>
      <c r="K55" s="79"/>
      <c r="L55" s="79"/>
      <c r="M55" s="58"/>
      <c r="N55" s="59"/>
      <c r="O55" s="59"/>
      <c r="P55" s="59"/>
      <c r="Q55" s="59"/>
      <c r="R55" s="60"/>
    </row>
    <row r="56" spans="1:26" ht="14.25">
      <c r="A56" s="78"/>
      <c r="B56" s="79"/>
      <c r="C56" s="79"/>
      <c r="D56" s="79"/>
      <c r="E56" s="79"/>
      <c r="F56" s="79"/>
      <c r="G56" s="79"/>
      <c r="H56" s="79"/>
      <c r="I56" s="79"/>
      <c r="J56" s="79"/>
      <c r="K56" s="79"/>
      <c r="L56" s="79"/>
      <c r="M56" s="58"/>
      <c r="N56" s="59"/>
      <c r="O56" s="59"/>
      <c r="P56" s="59"/>
      <c r="Q56" s="59"/>
      <c r="R56" s="60"/>
      <c r="Z56" s="12" t="e">
        <f>IF(AND(Z38="",Z39="",Z40="",Z41="",Z42="",Z43="",Z44="",Z45="",Z46="",Z47="",Z48="",Z49="",Z50="",Z51="",Z52="",Z53="",Z54="",Z55=""),"Acceptable Installation","")</f>
        <v>#DIV/0!</v>
      </c>
    </row>
    <row r="57" spans="1:18" ht="15" thickBot="1">
      <c r="A57" s="80"/>
      <c r="B57" s="81"/>
      <c r="C57" s="81"/>
      <c r="D57" s="81"/>
      <c r="E57" s="81"/>
      <c r="F57" s="81"/>
      <c r="G57" s="81"/>
      <c r="H57" s="81"/>
      <c r="I57" s="81"/>
      <c r="J57" s="81"/>
      <c r="K57" s="81"/>
      <c r="L57" s="81"/>
      <c r="M57" s="61"/>
      <c r="N57" s="62"/>
      <c r="O57" s="62"/>
      <c r="P57" s="62"/>
      <c r="Q57" s="62"/>
      <c r="R57" s="63"/>
    </row>
    <row r="58" spans="1:18" ht="14.25">
      <c r="A58" s="45" t="s">
        <v>33</v>
      </c>
      <c r="B58" s="46"/>
      <c r="C58" s="46"/>
      <c r="D58" s="46"/>
      <c r="E58" s="46"/>
      <c r="F58" s="46"/>
      <c r="G58" s="46"/>
      <c r="H58" s="46"/>
      <c r="I58" s="46"/>
      <c r="J58" s="46"/>
      <c r="K58" s="46"/>
      <c r="L58" s="46"/>
      <c r="M58" s="46"/>
      <c r="N58" s="46"/>
      <c r="O58" s="46"/>
      <c r="P58" s="46"/>
      <c r="Q58" s="46"/>
      <c r="R58" s="47"/>
    </row>
    <row r="59" spans="1:18" ht="15" customHeight="1">
      <c r="A59" s="48" t="s">
        <v>44</v>
      </c>
      <c r="B59" s="49"/>
      <c r="C59" s="49"/>
      <c r="D59" s="49"/>
      <c r="E59" s="49"/>
      <c r="F59" s="49"/>
      <c r="G59" s="49"/>
      <c r="H59" s="49"/>
      <c r="I59" s="49"/>
      <c r="J59" s="49"/>
      <c r="K59" s="49"/>
      <c r="L59" s="49"/>
      <c r="M59" s="49"/>
      <c r="N59" s="49"/>
      <c r="O59" s="49"/>
      <c r="P59" s="49"/>
      <c r="Q59" s="49"/>
      <c r="R59" s="50"/>
    </row>
    <row r="60" spans="1:18" ht="15" customHeight="1">
      <c r="A60" s="48" t="s">
        <v>45</v>
      </c>
      <c r="B60" s="49"/>
      <c r="C60" s="49"/>
      <c r="D60" s="49"/>
      <c r="E60" s="49"/>
      <c r="F60" s="49"/>
      <c r="G60" s="49"/>
      <c r="H60" s="49"/>
      <c r="I60" s="49"/>
      <c r="J60" s="49"/>
      <c r="K60" s="49"/>
      <c r="L60" s="49"/>
      <c r="M60" s="49"/>
      <c r="N60" s="49"/>
      <c r="O60" s="49"/>
      <c r="P60" s="49"/>
      <c r="Q60" s="49"/>
      <c r="R60" s="50"/>
    </row>
    <row r="61" spans="1:18" ht="15" customHeight="1">
      <c r="A61" s="48" t="s">
        <v>46</v>
      </c>
      <c r="B61" s="49"/>
      <c r="C61" s="49"/>
      <c r="D61" s="49"/>
      <c r="E61" s="49"/>
      <c r="F61" s="49"/>
      <c r="G61" s="49"/>
      <c r="H61" s="49"/>
      <c r="I61" s="49"/>
      <c r="J61" s="49"/>
      <c r="K61" s="49"/>
      <c r="L61" s="49"/>
      <c r="M61" s="49"/>
      <c r="N61" s="49"/>
      <c r="O61" s="49"/>
      <c r="P61" s="49"/>
      <c r="Q61" s="49"/>
      <c r="R61" s="50"/>
    </row>
    <row r="62" spans="1:18" ht="25.5" customHeight="1" thickBot="1">
      <c r="A62" s="51" t="s">
        <v>50</v>
      </c>
      <c r="B62" s="52"/>
      <c r="C62" s="52"/>
      <c r="D62" s="52"/>
      <c r="E62" s="52"/>
      <c r="F62" s="52"/>
      <c r="G62" s="52"/>
      <c r="H62" s="52"/>
      <c r="I62" s="53"/>
      <c r="J62" s="53"/>
      <c r="K62" s="53"/>
      <c r="L62" s="53"/>
      <c r="M62" s="53"/>
      <c r="N62" s="53"/>
      <c r="O62" s="53"/>
      <c r="P62" s="53"/>
      <c r="Q62" s="53"/>
      <c r="R62" s="54"/>
    </row>
    <row r="63" spans="2:8" ht="15">
      <c r="B63" s="55" t="s">
        <v>90</v>
      </c>
      <c r="C63" s="56"/>
      <c r="D63" s="56"/>
      <c r="E63" s="56"/>
      <c r="F63" s="56"/>
      <c r="G63" s="56"/>
      <c r="H63" s="57"/>
    </row>
    <row r="64" spans="2:8" ht="14.25">
      <c r="B64" s="4"/>
      <c r="C64" s="43" t="s">
        <v>85</v>
      </c>
      <c r="D64" s="43"/>
      <c r="E64" s="43"/>
      <c r="F64" s="2" t="s">
        <v>96</v>
      </c>
      <c r="G64" s="3"/>
      <c r="H64" s="5"/>
    </row>
    <row r="65" spans="2:8" ht="14.25">
      <c r="B65" s="4"/>
      <c r="C65" s="43" t="s">
        <v>86</v>
      </c>
      <c r="D65" s="43"/>
      <c r="E65" s="43"/>
      <c r="F65" s="2"/>
      <c r="G65" s="3"/>
      <c r="H65" s="5"/>
    </row>
    <row r="66" spans="2:8" ht="14.25">
      <c r="B66" s="4"/>
      <c r="C66" s="43" t="s">
        <v>87</v>
      </c>
      <c r="D66" s="43"/>
      <c r="E66" s="43"/>
      <c r="F66" s="2"/>
      <c r="G66" s="3"/>
      <c r="H66" s="5"/>
    </row>
    <row r="67" spans="2:8" ht="14.25">
      <c r="B67" s="4"/>
      <c r="C67" s="43" t="s">
        <v>88</v>
      </c>
      <c r="D67" s="43"/>
      <c r="E67" s="43"/>
      <c r="F67" s="2"/>
      <c r="G67" s="3"/>
      <c r="H67" s="5"/>
    </row>
    <row r="68" spans="2:8" ht="14.25">
      <c r="B68" s="4"/>
      <c r="C68" s="43" t="s">
        <v>89</v>
      </c>
      <c r="D68" s="43"/>
      <c r="E68" s="43"/>
      <c r="F68" s="2"/>
      <c r="G68" s="3"/>
      <c r="H68" s="5"/>
    </row>
    <row r="69" spans="2:8" ht="15" thickBot="1">
      <c r="B69" s="6"/>
      <c r="C69" s="44" t="s">
        <v>91</v>
      </c>
      <c r="D69" s="44"/>
      <c r="E69" s="44"/>
      <c r="F69" s="7" t="str">
        <f>IF(AND(F64="Yes",F67&gt;0,F68&gt;0),"Yes","No")</f>
        <v>No</v>
      </c>
      <c r="G69" s="8"/>
      <c r="H69" s="9"/>
    </row>
  </sheetData>
  <sheetProtection password="C699" sheet="1" objects="1" scenarios="1" selectLockedCells="1"/>
  <mergeCells count="164">
    <mergeCell ref="C64:E64"/>
    <mergeCell ref="C65:E65"/>
    <mergeCell ref="C66:E66"/>
    <mergeCell ref="C67:E67"/>
    <mergeCell ref="C68:E68"/>
    <mergeCell ref="C69:E69"/>
    <mergeCell ref="A58:R58"/>
    <mergeCell ref="A59:R59"/>
    <mergeCell ref="A60:R60"/>
    <mergeCell ref="A61:R61"/>
    <mergeCell ref="A62:R62"/>
    <mergeCell ref="B63:H63"/>
    <mergeCell ref="M52:R52"/>
    <mergeCell ref="M53:R53"/>
    <mergeCell ref="M54:R54"/>
    <mergeCell ref="M55:R55"/>
    <mergeCell ref="M56:R56"/>
    <mergeCell ref="M57:R57"/>
    <mergeCell ref="M46:R46"/>
    <mergeCell ref="M47:R47"/>
    <mergeCell ref="M48:R48"/>
    <mergeCell ref="M49:R49"/>
    <mergeCell ref="M50:R50"/>
    <mergeCell ref="M51:R51"/>
    <mergeCell ref="M40:R40"/>
    <mergeCell ref="M41:R41"/>
    <mergeCell ref="M42:R42"/>
    <mergeCell ref="M43:R43"/>
    <mergeCell ref="M44:R44"/>
    <mergeCell ref="M45:R45"/>
    <mergeCell ref="B33:C33"/>
    <mergeCell ref="D33:R33"/>
    <mergeCell ref="B34:C34"/>
    <mergeCell ref="D34:R34"/>
    <mergeCell ref="A35:L57"/>
    <mergeCell ref="M35:R35"/>
    <mergeCell ref="M36:R36"/>
    <mergeCell ref="M37:R37"/>
    <mergeCell ref="M38:R38"/>
    <mergeCell ref="M39:R39"/>
    <mergeCell ref="B31:C31"/>
    <mergeCell ref="F31:H31"/>
    <mergeCell ref="I31:K31"/>
    <mergeCell ref="L31:M31"/>
    <mergeCell ref="N31:R31"/>
    <mergeCell ref="B32:C32"/>
    <mergeCell ref="F32:H32"/>
    <mergeCell ref="I32:K32"/>
    <mergeCell ref="L32:M32"/>
    <mergeCell ref="N32:R32"/>
    <mergeCell ref="B29:C29"/>
    <mergeCell ref="F29:H29"/>
    <mergeCell ref="I29:K29"/>
    <mergeCell ref="L29:M29"/>
    <mergeCell ref="N29:R29"/>
    <mergeCell ref="B30:C30"/>
    <mergeCell ref="F30:H30"/>
    <mergeCell ref="I30:K30"/>
    <mergeCell ref="L30:M30"/>
    <mergeCell ref="N30:R30"/>
    <mergeCell ref="B27:C27"/>
    <mergeCell ref="F27:H27"/>
    <mergeCell ref="I27:K27"/>
    <mergeCell ref="L27:M27"/>
    <mergeCell ref="N27:R27"/>
    <mergeCell ref="B28:C28"/>
    <mergeCell ref="F28:H28"/>
    <mergeCell ref="I28:K28"/>
    <mergeCell ref="L28:M28"/>
    <mergeCell ref="N28:R28"/>
    <mergeCell ref="B25:F25"/>
    <mergeCell ref="H25:K25"/>
    <mergeCell ref="L25:M25"/>
    <mergeCell ref="O25:P25"/>
    <mergeCell ref="Q25:R25"/>
    <mergeCell ref="B26:C26"/>
    <mergeCell ref="D26:H26"/>
    <mergeCell ref="I26:R26"/>
    <mergeCell ref="B23:K23"/>
    <mergeCell ref="L23:N23"/>
    <mergeCell ref="O23:P23"/>
    <mergeCell ref="Q23:R23"/>
    <mergeCell ref="B24:K24"/>
    <mergeCell ref="L24:N24"/>
    <mergeCell ref="O24:R24"/>
    <mergeCell ref="B21:K21"/>
    <mergeCell ref="L21:N21"/>
    <mergeCell ref="O21:R21"/>
    <mergeCell ref="B22:K22"/>
    <mergeCell ref="L22:N22"/>
    <mergeCell ref="O22:R22"/>
    <mergeCell ref="B19:K19"/>
    <mergeCell ref="L19:N19"/>
    <mergeCell ref="O19:R19"/>
    <mergeCell ref="B20:K20"/>
    <mergeCell ref="M20:N20"/>
    <mergeCell ref="P20:R20"/>
    <mergeCell ref="A16:R16"/>
    <mergeCell ref="A17:K17"/>
    <mergeCell ref="L17:N17"/>
    <mergeCell ref="O17:R17"/>
    <mergeCell ref="B18:K18"/>
    <mergeCell ref="L18:N18"/>
    <mergeCell ref="O18:R18"/>
    <mergeCell ref="B14:E14"/>
    <mergeCell ref="F14:I14"/>
    <mergeCell ref="K14:M14"/>
    <mergeCell ref="N14:R14"/>
    <mergeCell ref="B15:E15"/>
    <mergeCell ref="F15:G15"/>
    <mergeCell ref="H15:I15"/>
    <mergeCell ref="K15:M15"/>
    <mergeCell ref="N15:R15"/>
    <mergeCell ref="B12:E12"/>
    <mergeCell ref="F12:I12"/>
    <mergeCell ref="K12:M12"/>
    <mergeCell ref="N12:R12"/>
    <mergeCell ref="B13:E13"/>
    <mergeCell ref="F13:I13"/>
    <mergeCell ref="K13:M13"/>
    <mergeCell ref="N13:R13"/>
    <mergeCell ref="A9:R9"/>
    <mergeCell ref="A10:R10"/>
    <mergeCell ref="B11:E11"/>
    <mergeCell ref="F11:I11"/>
    <mergeCell ref="K11:M11"/>
    <mergeCell ref="N11:R11"/>
    <mergeCell ref="B8:C8"/>
    <mergeCell ref="D8:F8"/>
    <mergeCell ref="H8:I8"/>
    <mergeCell ref="J8:M8"/>
    <mergeCell ref="N8:O8"/>
    <mergeCell ref="P8:Q8"/>
    <mergeCell ref="B7:C7"/>
    <mergeCell ref="D7:F7"/>
    <mergeCell ref="H7:I7"/>
    <mergeCell ref="J7:M7"/>
    <mergeCell ref="N7:O7"/>
    <mergeCell ref="P7:Q7"/>
    <mergeCell ref="B6:C6"/>
    <mergeCell ref="D6:F6"/>
    <mergeCell ref="H6:I6"/>
    <mergeCell ref="J6:M6"/>
    <mergeCell ref="N6:O6"/>
    <mergeCell ref="P6:Q6"/>
    <mergeCell ref="A4:C4"/>
    <mergeCell ref="D4:R4"/>
    <mergeCell ref="Z4:AB4"/>
    <mergeCell ref="AC4:AD4"/>
    <mergeCell ref="B5:C5"/>
    <mergeCell ref="D5:F5"/>
    <mergeCell ref="H5:I5"/>
    <mergeCell ref="J5:O5"/>
    <mergeCell ref="P5:Q5"/>
    <mergeCell ref="A1:C3"/>
    <mergeCell ref="D1:I1"/>
    <mergeCell ref="J1:N1"/>
    <mergeCell ref="O1:R1"/>
    <mergeCell ref="D2:I2"/>
    <mergeCell ref="J2:N2"/>
    <mergeCell ref="O2:R2"/>
    <mergeCell ref="D3:I3"/>
    <mergeCell ref="J3:N3"/>
    <mergeCell ref="O3:R3"/>
  </mergeCells>
  <conditionalFormatting sqref="AB12">
    <cfRule type="cellIs" priority="4" dxfId="96" operator="lessThan">
      <formula>0.1</formula>
    </cfRule>
  </conditionalFormatting>
  <conditionalFormatting sqref="AB16">
    <cfRule type="cellIs" priority="3" dxfId="96" operator="lessThan">
      <formula>0.4</formula>
    </cfRule>
  </conditionalFormatting>
  <conditionalFormatting sqref="AB23">
    <cfRule type="cellIs" priority="2" dxfId="96" operator="greaterThan">
      <formula>$J$6</formula>
    </cfRule>
  </conditionalFormatting>
  <conditionalFormatting sqref="F12">
    <cfRule type="cellIs" priority="1" dxfId="96" operator="greaterThan">
      <formula>90</formula>
    </cfRule>
  </conditionalFormatting>
  <conditionalFormatting sqref="A15:E15 J15:M15">
    <cfRule type="expression" priority="5" dxfId="97" stopIfTrue="1">
      <formula>$N$14="NO"</formula>
    </cfRule>
  </conditionalFormatting>
  <conditionalFormatting sqref="F13:I13 N11:R11">
    <cfRule type="cellIs" priority="6" dxfId="98" operator="greaterThan" stopIfTrue="1">
      <formula>200</formula>
    </cfRule>
  </conditionalFormatting>
  <conditionalFormatting sqref="N13:R13">
    <cfRule type="cellIs" priority="7" dxfId="98" operator="greaterThan" stopIfTrue="1">
      <formula>2</formula>
    </cfRule>
  </conditionalFormatting>
  <conditionalFormatting sqref="N14:R14">
    <cfRule type="cellIs" priority="8" dxfId="98" operator="equal" stopIfTrue="1">
      <formula>"YES"</formula>
    </cfRule>
  </conditionalFormatting>
  <conditionalFormatting sqref="H15:I15">
    <cfRule type="expression" priority="9" dxfId="97" stopIfTrue="1">
      <formula>$N$14="NO"</formula>
    </cfRule>
    <cfRule type="cellIs" priority="10" dxfId="98" operator="greaterThan" stopIfTrue="1">
      <formula>5</formula>
    </cfRule>
  </conditionalFormatting>
  <conditionalFormatting sqref="F15:G15">
    <cfRule type="expression" priority="11" dxfId="97" stopIfTrue="1">
      <formula>$N$14="NO"</formula>
    </cfRule>
    <cfRule type="cellIs" priority="12" dxfId="98" operator="greaterThan" stopIfTrue="1">
      <formula>50</formula>
    </cfRule>
  </conditionalFormatting>
  <conditionalFormatting sqref="N15:R15">
    <cfRule type="expression" priority="13" dxfId="97" stopIfTrue="1">
      <formula>$N$14="NO"</formula>
    </cfRule>
    <cfRule type="cellIs" priority="14" dxfId="98" operator="equal" stopIfTrue="1">
      <formula>"YES"</formula>
    </cfRule>
  </conditionalFormatting>
  <conditionalFormatting sqref="L18:R18">
    <cfRule type="cellIs" priority="15" dxfId="98" operator="lessThan" stopIfTrue="1">
      <formula>1</formula>
    </cfRule>
  </conditionalFormatting>
  <conditionalFormatting sqref="L20 O20">
    <cfRule type="cellIs" priority="16" dxfId="98" operator="equal" stopIfTrue="1">
      <formula>"-"</formula>
    </cfRule>
  </conditionalFormatting>
  <dataValidations count="25">
    <dataValidation type="list" allowBlank="1" sqref="O24:R24">
      <formula1>$Z$25:$Z$26</formula1>
    </dataValidation>
    <dataValidation allowBlank="1" showInputMessage="1" sqref="O22:R22"/>
    <dataValidation type="list" allowBlank="1" sqref="Q25:R25">
      <formula1>$AB$22:$AC$22</formula1>
    </dataValidation>
    <dataValidation type="list" allowBlank="1" showErrorMessage="1" errorTitle="SHAPOTOOLS" error="ENTERVALUE BETWEEN 1 AND 50" sqref="Q23:R23">
      <formula1>$AC$14:$AD$14</formula1>
    </dataValidation>
    <dataValidation type="decimal" showErrorMessage="1" errorTitle="SHAPOTOOLS" error="ENTER VALUE BETWEEN -1 TO 500" sqref="J6">
      <formula1>-1</formula1>
      <formula2>500</formula2>
    </dataValidation>
    <dataValidation type="whole" showInputMessage="1" showErrorMessage="1" sqref="U26">
      <formula1>0</formula1>
      <formula2>10</formula2>
    </dataValidation>
    <dataValidation type="decimal" allowBlank="1" showErrorMessage="1" errorTitle="SHAPOTOOLS" error="ENTER VALUE BETWEEN 0 TO 50" sqref="D33:R33">
      <formula1>0</formula1>
      <formula2>50</formula2>
    </dataValidation>
    <dataValidation type="decimal" showErrorMessage="1" errorTitle="SHAPOTOOLS" error="ENTER VALUE BETWEEN 20 TO 300" sqref="D8">
      <formula1>20</formula1>
      <formula2>300</formula2>
    </dataValidation>
    <dataValidation type="decimal" showErrorMessage="1" errorTitle="SHAPOTOOLS" error="ENTER VALUE BETWEEN 0.1 TO 20000" sqref="D6">
      <formula1>0.1</formula1>
      <formula2>20000</formula2>
    </dataValidation>
    <dataValidation type="list" allowBlank="1" showInputMessage="1" errorTitle="SHAPOTOOLS" error="ENTER VALUE BETWEEN 0.1 TO 100" sqref="N25">
      <formula1>$AB$20:$AC$20</formula1>
    </dataValidation>
    <dataValidation type="decimal" showErrorMessage="1" errorTitle="SHAPOTOOLS" error="ENTER VALUE BETWEEN 0 TO 500" sqref="L18:R18">
      <formula1>0</formula1>
      <formula2>500</formula2>
    </dataValidation>
    <dataValidation type="decimal" showErrorMessage="1" errorTitle="SHAPOTOOLS" error="ENTER VALUE BETWEEN 0.2 TO 23" sqref="N13">
      <formula1>0.2</formula1>
      <formula2>23</formula2>
    </dataValidation>
    <dataValidation type="decimal" showErrorMessage="1" errorTitle="SHAPOTOOLS" error="ENTER VALUE BETWEEN -50 TO +500" sqref="N12:R12 F12">
      <formula1>-50</formula1>
      <formula2>500</formula2>
    </dataValidation>
    <dataValidation type="decimal" showErrorMessage="1" errorTitle="SHAPOTOOLS" error="ENTER VALUE BETWEEN 0 TO 1000000" sqref="N11:R11">
      <formula1>0</formula1>
      <formula2>100000</formula2>
    </dataValidation>
    <dataValidation type="decimal" showErrorMessage="1" errorTitle="SHAPOTOOLS" error="ENTER VALUE BETWEEN 0 TO 100" sqref="H15:I15">
      <formula1>0</formula1>
      <formula2>100</formula2>
    </dataValidation>
    <dataValidation type="decimal" operator="greaterThanOrEqual" showErrorMessage="1" errorTitle="SHAPOTOOLS" error="ENTER VALUE BETWEEN 0 TO 5000" sqref="F15:G15">
      <formula1>0</formula1>
    </dataValidation>
    <dataValidation type="decimal" showErrorMessage="1" errorTitle="SHAPOTOOLS" error="ENTER VALUE BETWEEN 0 TO 5000" sqref="F13:I13">
      <formula1>0</formula1>
      <formula2>5000</formula2>
    </dataValidation>
    <dataValidation type="list" showErrorMessage="1" errorTitle="SHAPOTOOLS" error="PLEASE SELECT PIPE NB" sqref="L21 O21">
      <formula1>"15,20,25,40,50,65,80,100,125,150"</formula1>
    </dataValidation>
    <dataValidation type="list" showErrorMessage="1" errorTitle="SHAPOTOOLS" error="ENTER YES OR NO" sqref="O23 L22 N14">
      <formula1>"YES,NO"</formula1>
    </dataValidation>
    <dataValidation type="list" showErrorMessage="1" errorTitle="SHAPOTOOLS" error="ENTER POSITIVE OR NEGATIVE" sqref="L20 O20">
      <formula1>"+,-"</formula1>
    </dataValidation>
    <dataValidation type="list" allowBlank="1" showErrorMessage="1" errorTitle="SHAPOTOOLS" error="ENTER YES OR NO" sqref="N15:R15 L25:M25 O25">
      <formula1>"YES,NO"</formula1>
    </dataValidation>
    <dataValidation type="decimal" showErrorMessage="1" errorTitle="SHAPOTOOLS" error="ENTER VALUE HIGHER THAN 0 AND LESS THAN TOTAL DISCHARGE PIPE LENGTH ABOVE" sqref="P20">
      <formula1>0</formula1>
      <formula2>O19</formula2>
    </dataValidation>
    <dataValidation type="decimal" showErrorMessage="1" errorTitle="SHAPOTOOLS" error="ENTER VALUE HIGHER THAN 0 AND LESS THAN TOTAL SUCTION  PIPE LENGTH ABOVE" sqref="M20">
      <formula1>0</formula1>
      <formula2>L19</formula2>
    </dataValidation>
    <dataValidation type="decimal" showErrorMessage="1" errorTitle="SHAPOTOOLS" error="ENTER VALUE GREATER THAN DISCHARGE STATIC HEAD BELOW &amp; LESS THAN 10000" sqref="O19">
      <formula1>P20</formula1>
      <formula2>10000</formula2>
    </dataValidation>
    <dataValidation type="decimal" showErrorMessage="1" errorTitle="SHAPOTOOLS" error="ENTER VALUE GREATER THAN SUCTION STATIC HEAD BELOW AND LESS THAN 50" sqref="L19">
      <formula1>M20</formula1>
      <formula2>50</formula2>
    </dataValidation>
  </dataValidations>
  <printOptions/>
  <pageMargins left="0.7" right="0.7" top="0.75" bottom="0.75" header="0.3" footer="0.3"/>
  <pageSetup fitToHeight="1" fitToWidth="1" horizontalDpi="600" verticalDpi="600" orientation="portrait" paperSize="9" scale="69" r:id="rId5"/>
  <drawing r:id="rId4"/>
  <legacyDrawing r:id="rId3"/>
  <oleObjects>
    <oleObject progId="MSWordArt.2" shapeId="18182272" r:id="rId1"/>
    <oleObject progId="HarvardFX" shapeId="18182273" r:id="rId2"/>
  </oleObjects>
</worksheet>
</file>

<file path=xl/worksheets/sheet6.xml><?xml version="1.0" encoding="utf-8"?>
<worksheet xmlns="http://schemas.openxmlformats.org/spreadsheetml/2006/main" xmlns:r="http://schemas.openxmlformats.org/officeDocument/2006/relationships">
  <sheetPr codeName="Sheet4">
    <pageSetUpPr fitToPage="1"/>
  </sheetPr>
  <dimension ref="A1:AG69"/>
  <sheetViews>
    <sheetView zoomScale="80" zoomScaleNormal="80" zoomScalePageLayoutView="0" workbookViewId="0" topLeftCell="A1">
      <selection activeCell="D4" sqref="D4:R4"/>
    </sheetView>
  </sheetViews>
  <sheetFormatPr defaultColWidth="9.140625" defaultRowHeight="15"/>
  <cols>
    <col min="1" max="1" width="3.7109375" style="0" customWidth="1"/>
    <col min="3" max="3" width="4.57421875" style="0" customWidth="1"/>
    <col min="6" max="6" width="9.7109375" style="0" customWidth="1"/>
    <col min="7" max="7" width="2.7109375" style="0" customWidth="1"/>
    <col min="8" max="8" width="15.28125" style="0" customWidth="1"/>
    <col min="9" max="9" width="3.00390625" style="0" customWidth="1"/>
    <col min="10" max="10" width="3.7109375" style="0" customWidth="1"/>
    <col min="12" max="12" width="4.7109375" style="0" customWidth="1"/>
    <col min="13" max="13" width="10.28125" style="0" customWidth="1"/>
    <col min="14" max="14" width="8.7109375" style="0" customWidth="1"/>
    <col min="15" max="15" width="4.421875" style="0" customWidth="1"/>
    <col min="16" max="16" width="6.28125" style="0" customWidth="1"/>
    <col min="17" max="17" width="4.57421875" style="0" customWidth="1"/>
    <col min="18" max="18" width="8.28125" style="0" customWidth="1"/>
    <col min="20" max="20" width="13.7109375" style="0" customWidth="1"/>
    <col min="21" max="21" width="20.00390625" style="0" customWidth="1"/>
    <col min="26" max="26" width="9.28125" style="12" hidden="1" customWidth="1"/>
    <col min="27" max="27" width="24.421875" style="12" hidden="1" customWidth="1"/>
    <col min="28" max="31" width="9.28125" style="12" hidden="1" customWidth="1"/>
    <col min="32" max="32" width="15.28125" style="12" hidden="1" customWidth="1"/>
    <col min="33" max="33" width="9.28125" style="12" hidden="1" customWidth="1"/>
    <col min="34" max="35" width="9.28125" style="0" customWidth="1"/>
  </cols>
  <sheetData>
    <row r="1" spans="1:31" ht="23.25" customHeight="1">
      <c r="A1" s="143"/>
      <c r="B1" s="144"/>
      <c r="C1" s="144"/>
      <c r="D1" s="150" t="s">
        <v>0</v>
      </c>
      <c r="E1" s="150"/>
      <c r="F1" s="150"/>
      <c r="G1" s="150"/>
      <c r="H1" s="150"/>
      <c r="I1" s="150"/>
      <c r="J1" s="151" t="s">
        <v>38</v>
      </c>
      <c r="K1" s="151"/>
      <c r="L1" s="151"/>
      <c r="M1" s="151"/>
      <c r="N1" s="151"/>
      <c r="O1" s="152" t="s">
        <v>64</v>
      </c>
      <c r="P1" s="152"/>
      <c r="Q1" s="152"/>
      <c r="R1" s="153"/>
      <c r="T1" s="11"/>
      <c r="U1" s="24">
        <v>44782</v>
      </c>
      <c r="Z1" s="12" t="s">
        <v>55</v>
      </c>
      <c r="AB1" s="23">
        <v>0</v>
      </c>
      <c r="AC1" s="23">
        <v>1.5</v>
      </c>
      <c r="AE1" s="23">
        <v>0.69</v>
      </c>
    </row>
    <row r="2" spans="1:30" ht="15" customHeight="1">
      <c r="A2" s="145"/>
      <c r="B2" s="146"/>
      <c r="C2" s="147"/>
      <c r="D2" s="154" t="s">
        <v>112</v>
      </c>
      <c r="E2" s="155"/>
      <c r="F2" s="155"/>
      <c r="G2" s="155"/>
      <c r="H2" s="155"/>
      <c r="I2" s="155"/>
      <c r="J2" s="156" t="s">
        <v>1</v>
      </c>
      <c r="K2" s="157"/>
      <c r="L2" s="157"/>
      <c r="M2" s="157"/>
      <c r="N2" s="158"/>
      <c r="O2" s="159" t="s">
        <v>63</v>
      </c>
      <c r="P2" s="159"/>
      <c r="Q2" s="159"/>
      <c r="R2" s="160"/>
      <c r="U2" s="10"/>
      <c r="Z2" s="12" t="s">
        <v>56</v>
      </c>
      <c r="AB2" s="23">
        <v>0</v>
      </c>
      <c r="AC2" s="13"/>
      <c r="AD2" s="13"/>
    </row>
    <row r="3" spans="1:29" ht="15" customHeight="1" thickBot="1">
      <c r="A3" s="148"/>
      <c r="B3" s="149"/>
      <c r="C3" s="149"/>
      <c r="D3" s="161" t="s">
        <v>113</v>
      </c>
      <c r="E3" s="161"/>
      <c r="F3" s="161"/>
      <c r="G3" s="161"/>
      <c r="H3" s="161"/>
      <c r="I3" s="161"/>
      <c r="J3" s="162" t="s">
        <v>34</v>
      </c>
      <c r="K3" s="162"/>
      <c r="L3" s="162"/>
      <c r="M3" s="162"/>
      <c r="N3" s="162"/>
      <c r="O3" s="163" t="s">
        <v>37</v>
      </c>
      <c r="P3" s="163"/>
      <c r="Q3" s="163"/>
      <c r="R3" s="164"/>
      <c r="Z3" s="12" t="s">
        <v>57</v>
      </c>
      <c r="AB3" s="14">
        <f>N13*AB1*D8*D8*AB2*AB2/AC1/10000000</f>
        <v>0</v>
      </c>
      <c r="AC3" s="15" t="s">
        <v>53</v>
      </c>
    </row>
    <row r="4" spans="1:33" ht="15.75" customHeight="1">
      <c r="A4" s="136" t="s">
        <v>35</v>
      </c>
      <c r="B4" s="137"/>
      <c r="C4" s="137"/>
      <c r="D4" s="138"/>
      <c r="E4" s="139"/>
      <c r="F4" s="139"/>
      <c r="G4" s="139"/>
      <c r="H4" s="139"/>
      <c r="I4" s="139"/>
      <c r="J4" s="139"/>
      <c r="K4" s="139"/>
      <c r="L4" s="139"/>
      <c r="M4" s="139"/>
      <c r="N4" s="139"/>
      <c r="O4" s="139"/>
      <c r="P4" s="139"/>
      <c r="Q4" s="139"/>
      <c r="R4" s="140"/>
      <c r="Z4" s="141"/>
      <c r="AA4" s="141"/>
      <c r="AB4" s="141"/>
      <c r="AC4" s="141" t="s">
        <v>54</v>
      </c>
      <c r="AD4" s="141"/>
      <c r="AF4" s="12" t="s">
        <v>103</v>
      </c>
      <c r="AG4" s="12">
        <f>IF(ISERR(FIND(AF4,UPPER($J$5),1))=FALSE,0.35,0.15)</f>
        <v>0.15</v>
      </c>
    </row>
    <row r="5" spans="1:33" ht="15" customHeight="1">
      <c r="A5" s="28">
        <v>1</v>
      </c>
      <c r="B5" s="115" t="s">
        <v>52</v>
      </c>
      <c r="C5" s="115"/>
      <c r="D5" s="87"/>
      <c r="E5" s="87"/>
      <c r="F5" s="87"/>
      <c r="G5" s="29">
        <v>2</v>
      </c>
      <c r="H5" s="115" t="s">
        <v>47</v>
      </c>
      <c r="I5" s="115"/>
      <c r="J5" s="69"/>
      <c r="K5" s="70"/>
      <c r="L5" s="70"/>
      <c r="M5" s="70"/>
      <c r="N5" s="70"/>
      <c r="O5" s="123"/>
      <c r="P5" s="142" t="s">
        <v>3</v>
      </c>
      <c r="Q5" s="142"/>
      <c r="R5" s="30"/>
      <c r="U5" s="10"/>
      <c r="Z5" s="12" t="s">
        <v>58</v>
      </c>
      <c r="AB5" s="16">
        <f>AG10</f>
        <v>0.15</v>
      </c>
      <c r="AD5" s="27"/>
      <c r="AF5" s="12" t="s">
        <v>99</v>
      </c>
      <c r="AG5" s="12">
        <f>IF(ISERR(FIND(AF5,UPPER($J$5),1))=FALSE,0.15,0)</f>
        <v>0</v>
      </c>
    </row>
    <row r="6" spans="1:33" ht="15.75" customHeight="1">
      <c r="A6" s="28">
        <v>2</v>
      </c>
      <c r="B6" s="115" t="s">
        <v>4</v>
      </c>
      <c r="C6" s="115"/>
      <c r="D6" s="69"/>
      <c r="E6" s="70"/>
      <c r="F6" s="123"/>
      <c r="G6" s="29">
        <v>4</v>
      </c>
      <c r="H6" s="115" t="s">
        <v>84</v>
      </c>
      <c r="I6" s="115"/>
      <c r="J6" s="133"/>
      <c r="K6" s="134"/>
      <c r="L6" s="134"/>
      <c r="M6" s="135"/>
      <c r="N6" s="94" t="s">
        <v>5</v>
      </c>
      <c r="O6" s="94"/>
      <c r="P6" s="94" t="s">
        <v>6</v>
      </c>
      <c r="Q6" s="94"/>
      <c r="R6" s="31" t="s">
        <v>7</v>
      </c>
      <c r="U6" s="10"/>
      <c r="Z6" s="12" t="s">
        <v>68</v>
      </c>
      <c r="AB6" s="17" t="e">
        <f>AB3*L19/L21/L21</f>
        <v>#DIV/0!</v>
      </c>
      <c r="AF6" s="12" t="s">
        <v>101</v>
      </c>
      <c r="AG6" s="12">
        <f>IF(ISERR(FIND(AF6,UPPER($J$5),1))=FALSE,IF(AND(ISERR(FIND("SD",UPPER($J$5),1))=FALSE,ISERR(FIND("SDO",UPPER($J$5),1))=TRUE),0.05,0.1),0)</f>
        <v>0</v>
      </c>
    </row>
    <row r="7" spans="1:33" ht="14.25">
      <c r="A7" s="28">
        <v>5</v>
      </c>
      <c r="B7" s="115" t="s">
        <v>36</v>
      </c>
      <c r="C7" s="115"/>
      <c r="D7" s="87"/>
      <c r="E7" s="87"/>
      <c r="F7" s="87"/>
      <c r="G7" s="29">
        <v>6</v>
      </c>
      <c r="H7" s="115" t="s">
        <v>2</v>
      </c>
      <c r="I7" s="115"/>
      <c r="J7" s="87"/>
      <c r="K7" s="87"/>
      <c r="L7" s="87"/>
      <c r="M7" s="87"/>
      <c r="N7" s="88"/>
      <c r="O7" s="88"/>
      <c r="P7" s="88"/>
      <c r="Q7" s="88"/>
      <c r="R7" s="33"/>
      <c r="U7" s="10"/>
      <c r="Z7" s="12" t="s">
        <v>69</v>
      </c>
      <c r="AB7" s="17" t="e">
        <f>AB3*O19/O21/O21</f>
        <v>#DIV/0!</v>
      </c>
      <c r="AF7" s="12" t="s">
        <v>100</v>
      </c>
      <c r="AG7" s="12">
        <f>IF(ISERR(FIND(AF7,UPPER($J$5),1))=FALSE,0.1,0)</f>
        <v>0</v>
      </c>
    </row>
    <row r="8" spans="1:33" ht="15" customHeight="1" thickBot="1">
      <c r="A8" s="34">
        <v>7</v>
      </c>
      <c r="B8" s="131" t="s">
        <v>8</v>
      </c>
      <c r="C8" s="131"/>
      <c r="D8" s="119"/>
      <c r="E8" s="74"/>
      <c r="F8" s="120"/>
      <c r="G8" s="35">
        <v>8</v>
      </c>
      <c r="H8" s="131" t="s">
        <v>9</v>
      </c>
      <c r="I8" s="131"/>
      <c r="J8" s="121"/>
      <c r="K8" s="121"/>
      <c r="L8" s="121"/>
      <c r="M8" s="121"/>
      <c r="N8" s="132"/>
      <c r="O8" s="132"/>
      <c r="P8" s="132"/>
      <c r="Q8" s="132"/>
      <c r="R8" s="36"/>
      <c r="Z8" s="12" t="s">
        <v>60</v>
      </c>
      <c r="AB8" s="17" t="e">
        <f>AB6*IF(L25="NO",1,AB19/0.3/100)</f>
        <v>#DIV/0!</v>
      </c>
      <c r="AF8" s="12" t="s">
        <v>98</v>
      </c>
      <c r="AG8" s="12">
        <f>IF(AND(ISERR(FIND("SD",UPPER($J$5),1))=FALSE,ISERR(FIND("SDO",UPPER($J$5),1))=TRUE),0.05,0)</f>
        <v>0</v>
      </c>
    </row>
    <row r="9" spans="1:33" ht="15.75" thickBot="1">
      <c r="A9" s="125" t="s">
        <v>10</v>
      </c>
      <c r="B9" s="126"/>
      <c r="C9" s="126"/>
      <c r="D9" s="126"/>
      <c r="E9" s="126"/>
      <c r="F9" s="126"/>
      <c r="G9" s="126"/>
      <c r="H9" s="126"/>
      <c r="I9" s="126"/>
      <c r="J9" s="126"/>
      <c r="K9" s="126"/>
      <c r="L9" s="126"/>
      <c r="M9" s="126"/>
      <c r="N9" s="126"/>
      <c r="O9" s="126"/>
      <c r="P9" s="126"/>
      <c r="Q9" s="126"/>
      <c r="R9" s="127"/>
      <c r="Z9" s="12" t="s">
        <v>61</v>
      </c>
      <c r="AB9" s="17" t="e">
        <f>AB7*IF(O25="NO",1,AB21/0.3/100)</f>
        <v>#DIV/0!</v>
      </c>
      <c r="AF9" s="12" t="s">
        <v>97</v>
      </c>
      <c r="AG9" s="12">
        <f>IF(ISERR(FIND(AF9,UPPER($J$5),1))=FALSE,0.1,0)</f>
        <v>0</v>
      </c>
    </row>
    <row r="10" spans="1:33" ht="14.25">
      <c r="A10" s="128" t="s">
        <v>39</v>
      </c>
      <c r="B10" s="129"/>
      <c r="C10" s="129"/>
      <c r="D10" s="129"/>
      <c r="E10" s="129"/>
      <c r="F10" s="129"/>
      <c r="G10" s="129"/>
      <c r="H10" s="129"/>
      <c r="I10" s="129"/>
      <c r="J10" s="129"/>
      <c r="K10" s="129"/>
      <c r="L10" s="129"/>
      <c r="M10" s="129"/>
      <c r="N10" s="129"/>
      <c r="O10" s="129"/>
      <c r="P10" s="129"/>
      <c r="Q10" s="129"/>
      <c r="R10" s="130"/>
      <c r="Z10" s="12" t="s">
        <v>59</v>
      </c>
      <c r="AB10" s="17" t="e">
        <f>AB8+AB5</f>
        <v>#DIV/0!</v>
      </c>
      <c r="AF10" s="12" t="s">
        <v>102</v>
      </c>
      <c r="AG10" s="12">
        <f>AG4-AG5-AG6+AG7+AG8-AG9</f>
        <v>0.15</v>
      </c>
    </row>
    <row r="11" spans="1:28" ht="15" customHeight="1">
      <c r="A11" s="28">
        <v>9</v>
      </c>
      <c r="B11" s="115" t="s">
        <v>41</v>
      </c>
      <c r="C11" s="115"/>
      <c r="D11" s="115"/>
      <c r="E11" s="115"/>
      <c r="F11" s="87"/>
      <c r="G11" s="87"/>
      <c r="H11" s="87"/>
      <c r="I11" s="87"/>
      <c r="J11" s="29">
        <v>10</v>
      </c>
      <c r="K11" s="115" t="s">
        <v>81</v>
      </c>
      <c r="L11" s="115"/>
      <c r="M11" s="115"/>
      <c r="N11" s="87"/>
      <c r="O11" s="87"/>
      <c r="P11" s="87"/>
      <c r="Q11" s="87"/>
      <c r="R11" s="124"/>
      <c r="Z11" s="12" t="s">
        <v>62</v>
      </c>
      <c r="AB11" s="17">
        <f>L18+IF(L20="+",1,-1)*M20/10*N13-F13/760-0.1</f>
        <v>0.9</v>
      </c>
    </row>
    <row r="12" spans="1:29" ht="15" customHeight="1">
      <c r="A12" s="28">
        <v>11</v>
      </c>
      <c r="B12" s="115" t="s">
        <v>42</v>
      </c>
      <c r="C12" s="115"/>
      <c r="D12" s="115"/>
      <c r="E12" s="115"/>
      <c r="F12" s="69"/>
      <c r="G12" s="70"/>
      <c r="H12" s="70"/>
      <c r="I12" s="123"/>
      <c r="J12" s="29">
        <v>12</v>
      </c>
      <c r="K12" s="115" t="s">
        <v>11</v>
      </c>
      <c r="L12" s="115"/>
      <c r="M12" s="115"/>
      <c r="N12" s="87"/>
      <c r="O12" s="87"/>
      <c r="P12" s="87"/>
      <c r="Q12" s="87"/>
      <c r="R12" s="124"/>
      <c r="Z12" s="12" t="s">
        <v>70</v>
      </c>
      <c r="AB12" s="18" t="e">
        <f>AB11-AB10</f>
        <v>#DIV/0!</v>
      </c>
      <c r="AC12" s="12" t="s">
        <v>72</v>
      </c>
    </row>
    <row r="13" spans="1:28" ht="15" customHeight="1">
      <c r="A13" s="28">
        <v>13</v>
      </c>
      <c r="B13" s="115" t="s">
        <v>12</v>
      </c>
      <c r="C13" s="115"/>
      <c r="D13" s="115"/>
      <c r="E13" s="115"/>
      <c r="F13" s="87"/>
      <c r="G13" s="87"/>
      <c r="H13" s="87"/>
      <c r="I13" s="87"/>
      <c r="J13" s="29">
        <v>14</v>
      </c>
      <c r="K13" s="115" t="s">
        <v>13</v>
      </c>
      <c r="L13" s="115"/>
      <c r="M13" s="115"/>
      <c r="N13" s="69"/>
      <c r="O13" s="70"/>
      <c r="P13" s="70"/>
      <c r="Q13" s="70"/>
      <c r="R13" s="71"/>
      <c r="Z13" s="12" t="s">
        <v>71</v>
      </c>
      <c r="AB13" s="17" t="e">
        <f>O18+IF(O20="+",1,-1)*P20*N13/10-L18-IF(L20="+",1,-1)*M20*N13/10-AB8-AB9</f>
        <v>#DIV/0!</v>
      </c>
    </row>
    <row r="14" spans="1:30" ht="15" customHeight="1">
      <c r="A14" s="28">
        <v>15</v>
      </c>
      <c r="B14" s="115" t="s">
        <v>14</v>
      </c>
      <c r="C14" s="115"/>
      <c r="D14" s="115"/>
      <c r="E14" s="115"/>
      <c r="F14" s="87"/>
      <c r="G14" s="87"/>
      <c r="H14" s="87"/>
      <c r="I14" s="87"/>
      <c r="J14" s="29" t="s">
        <v>15</v>
      </c>
      <c r="K14" s="115" t="s">
        <v>16</v>
      </c>
      <c r="L14" s="115"/>
      <c r="M14" s="115"/>
      <c r="N14" s="69" t="s">
        <v>92</v>
      </c>
      <c r="O14" s="70"/>
      <c r="P14" s="70"/>
      <c r="Q14" s="70"/>
      <c r="R14" s="71"/>
      <c r="Z14" s="12" t="s">
        <v>94</v>
      </c>
      <c r="AB14" s="17" t="e">
        <f>IF(AB13&lt;0.4,IF(AB13&lt;-0.6,ABS(AB13-0.4),1),0)</f>
        <v>#DIV/0!</v>
      </c>
      <c r="AC14" s="26" t="e">
        <f>ROUND(AB14,1)</f>
        <v>#DIV/0!</v>
      </c>
      <c r="AD14" s="12" t="e">
        <f>IF(AB13&lt;0.4,ROUND(ABS(AB13-0.4)+0.05,1),0)</f>
        <v>#DIV/0!</v>
      </c>
    </row>
    <row r="15" spans="1:28" ht="22.5" customHeight="1" thickBot="1">
      <c r="A15" s="34" t="s">
        <v>17</v>
      </c>
      <c r="B15" s="116" t="s">
        <v>80</v>
      </c>
      <c r="C15" s="116"/>
      <c r="D15" s="116"/>
      <c r="E15" s="116"/>
      <c r="F15" s="117"/>
      <c r="G15" s="118"/>
      <c r="H15" s="119"/>
      <c r="I15" s="120"/>
      <c r="J15" s="35" t="s">
        <v>18</v>
      </c>
      <c r="K15" s="116" t="s">
        <v>19</v>
      </c>
      <c r="L15" s="116"/>
      <c r="M15" s="116"/>
      <c r="N15" s="121"/>
      <c r="O15" s="121"/>
      <c r="P15" s="121"/>
      <c r="Q15" s="121"/>
      <c r="R15" s="122"/>
      <c r="Z15" s="12" t="s">
        <v>95</v>
      </c>
      <c r="AB15" s="17" t="b">
        <f>IF(O23="YES",IF(Q23&gt;IF(AB14=0,1,AB14),Q23,IF(AB14=0,1,AB14)))</f>
        <v>0</v>
      </c>
    </row>
    <row r="16" spans="1:29" ht="15.75" thickBot="1">
      <c r="A16" s="110" t="s">
        <v>40</v>
      </c>
      <c r="B16" s="111"/>
      <c r="C16" s="111"/>
      <c r="D16" s="111"/>
      <c r="E16" s="111"/>
      <c r="F16" s="111"/>
      <c r="G16" s="111"/>
      <c r="H16" s="111"/>
      <c r="I16" s="111"/>
      <c r="J16" s="111"/>
      <c r="K16" s="111"/>
      <c r="L16" s="111"/>
      <c r="M16" s="111"/>
      <c r="N16" s="111"/>
      <c r="O16" s="111"/>
      <c r="P16" s="111"/>
      <c r="Q16" s="111"/>
      <c r="R16" s="112"/>
      <c r="Z16" s="12" t="s">
        <v>65</v>
      </c>
      <c r="AB16" s="17" t="e">
        <f>AB15+O18+IF(O20="+",1,-1)*P20*N13/10-L18-IF(L20="+",1,-1)*M20*N13/10-AB8-AB9</f>
        <v>#DIV/0!</v>
      </c>
      <c r="AC16" s="12" t="s">
        <v>73</v>
      </c>
    </row>
    <row r="17" spans="1:28" ht="15" customHeight="1">
      <c r="A17" s="113" t="s">
        <v>20</v>
      </c>
      <c r="B17" s="82"/>
      <c r="C17" s="82"/>
      <c r="D17" s="82"/>
      <c r="E17" s="82"/>
      <c r="F17" s="82"/>
      <c r="G17" s="82"/>
      <c r="H17" s="82"/>
      <c r="I17" s="82"/>
      <c r="J17" s="82"/>
      <c r="K17" s="82"/>
      <c r="L17" s="82" t="s">
        <v>21</v>
      </c>
      <c r="M17" s="82"/>
      <c r="N17" s="82"/>
      <c r="O17" s="82" t="s">
        <v>22</v>
      </c>
      <c r="P17" s="82"/>
      <c r="Q17" s="82"/>
      <c r="R17" s="83"/>
      <c r="Z17" s="12" t="s">
        <v>66</v>
      </c>
      <c r="AB17" s="17" t="e">
        <f>L18+IF(L20="+",1,-1)*M20/10*N13+AB8</f>
        <v>#DIV/0!</v>
      </c>
    </row>
    <row r="18" spans="1:28" ht="14.25">
      <c r="A18" s="37">
        <v>17</v>
      </c>
      <c r="B18" s="92" t="s">
        <v>105</v>
      </c>
      <c r="C18" s="92"/>
      <c r="D18" s="92"/>
      <c r="E18" s="92"/>
      <c r="F18" s="92"/>
      <c r="G18" s="92"/>
      <c r="H18" s="92"/>
      <c r="I18" s="92"/>
      <c r="J18" s="92"/>
      <c r="K18" s="92"/>
      <c r="L18" s="88">
        <v>1</v>
      </c>
      <c r="M18" s="88"/>
      <c r="N18" s="88"/>
      <c r="O18" s="88">
        <v>1</v>
      </c>
      <c r="P18" s="88"/>
      <c r="Q18" s="88"/>
      <c r="R18" s="114"/>
      <c r="Z18" s="19" t="s">
        <v>67</v>
      </c>
      <c r="AA18" s="19"/>
      <c r="AB18" s="20" t="e">
        <f>MAX(J6,O18+IF(O20="+",1,-1)*P20*N13/10+AB9+AB15)</f>
        <v>#DIV/0!</v>
      </c>
    </row>
    <row r="19" spans="1:28" ht="14.25">
      <c r="A19" s="37">
        <v>18</v>
      </c>
      <c r="B19" s="92" t="s">
        <v>23</v>
      </c>
      <c r="C19" s="92"/>
      <c r="D19" s="92"/>
      <c r="E19" s="92"/>
      <c r="F19" s="92"/>
      <c r="G19" s="92"/>
      <c r="H19" s="92"/>
      <c r="I19" s="92"/>
      <c r="J19" s="92"/>
      <c r="K19" s="92"/>
      <c r="L19" s="89"/>
      <c r="M19" s="90"/>
      <c r="N19" s="106"/>
      <c r="O19" s="89"/>
      <c r="P19" s="90"/>
      <c r="Q19" s="90"/>
      <c r="R19" s="91"/>
      <c r="Z19" s="12" t="s">
        <v>77</v>
      </c>
      <c r="AB19" s="21">
        <f>G25</f>
        <v>3</v>
      </c>
    </row>
    <row r="20" spans="1:30" ht="14.25">
      <c r="A20" s="37">
        <v>19</v>
      </c>
      <c r="B20" s="92" t="s">
        <v>104</v>
      </c>
      <c r="C20" s="92"/>
      <c r="D20" s="92"/>
      <c r="E20" s="92"/>
      <c r="F20" s="92"/>
      <c r="G20" s="92"/>
      <c r="H20" s="92"/>
      <c r="I20" s="92"/>
      <c r="J20" s="92"/>
      <c r="K20" s="92"/>
      <c r="L20" s="39" t="s">
        <v>48</v>
      </c>
      <c r="M20" s="89"/>
      <c r="N20" s="106"/>
      <c r="O20" s="39" t="s">
        <v>48</v>
      </c>
      <c r="P20" s="89"/>
      <c r="Q20" s="90"/>
      <c r="R20" s="91"/>
      <c r="Z20" s="12" t="s">
        <v>74</v>
      </c>
      <c r="AB20" s="21" t="e">
        <f>IF(AC20&lt;=0.55,0.5,IF(AC20&lt;=1.1,1,IF(AC20&lt;=2.2,2,IF(AC20&lt;=3.3,3,IF(AC20&lt;=5.5,5,IF(AC20&lt;=7.7,7,IF(AC20&lt;=11,10,IF(AC20&lt;=17.6,16,AD20))))))))</f>
        <v>#DIV/0!</v>
      </c>
      <c r="AC20" s="21" t="e">
        <f>ROUND((D6*AE1/60/D8)/((1/AB17/(1-AB19/100))^0.7193-(1/AB17/(1+AB19/100))^0.7193),1)</f>
        <v>#DIV/0!</v>
      </c>
      <c r="AD20" s="12" t="e">
        <f>IF(AC20&lt;=33,30,IF(AC20&lt;=44,40,IF(AC20&lt;=66,60,AC20)))</f>
        <v>#DIV/0!</v>
      </c>
    </row>
    <row r="21" spans="1:28" ht="14.25">
      <c r="A21" s="37">
        <v>20</v>
      </c>
      <c r="B21" s="92" t="s">
        <v>106</v>
      </c>
      <c r="C21" s="92"/>
      <c r="D21" s="92"/>
      <c r="E21" s="92"/>
      <c r="F21" s="92"/>
      <c r="G21" s="92"/>
      <c r="H21" s="92"/>
      <c r="I21" s="92"/>
      <c r="J21" s="92"/>
      <c r="K21" s="92"/>
      <c r="L21" s="89"/>
      <c r="M21" s="90"/>
      <c r="N21" s="106"/>
      <c r="O21" s="89"/>
      <c r="P21" s="90"/>
      <c r="Q21" s="90"/>
      <c r="R21" s="91"/>
      <c r="Z21" s="12" t="s">
        <v>76</v>
      </c>
      <c r="AB21" s="21">
        <f>G25</f>
        <v>3</v>
      </c>
    </row>
    <row r="22" spans="1:30" ht="14.25">
      <c r="A22" s="37">
        <v>21</v>
      </c>
      <c r="B22" s="92" t="s">
        <v>107</v>
      </c>
      <c r="C22" s="92"/>
      <c r="D22" s="92"/>
      <c r="E22" s="92"/>
      <c r="F22" s="92"/>
      <c r="G22" s="92"/>
      <c r="H22" s="92"/>
      <c r="I22" s="92"/>
      <c r="J22" s="92"/>
      <c r="K22" s="92"/>
      <c r="L22" s="89" t="s">
        <v>93</v>
      </c>
      <c r="M22" s="90"/>
      <c r="N22" s="106"/>
      <c r="O22" s="97" t="s">
        <v>24</v>
      </c>
      <c r="P22" s="108"/>
      <c r="Q22" s="108"/>
      <c r="R22" s="109"/>
      <c r="Z22" s="12" t="s">
        <v>75</v>
      </c>
      <c r="AB22" s="21" t="e">
        <f>IF(AC22&lt;=0.55,0.5,IF(AC22&lt;=1.1,1,IF(AC22&lt;=2.2,2,IF(AC22&lt;=3.3,3,IF(AC22&lt;=5.5,5,IF(AC22&lt;=7.7,7,IF(AC22&lt;=11,10,IF(AC22&lt;=17.6,16,AD22))))))))</f>
        <v>#DIV/0!</v>
      </c>
      <c r="AC22" s="12" t="e">
        <f>ROUND((D6*AE1/60/D8)/((1/AB18/(1-AB21/100))^0.7193-(1/AB18/(1+AB21/100))^0.7193),1)</f>
        <v>#DIV/0!</v>
      </c>
      <c r="AD22" s="12" t="e">
        <f>IF(AC22&lt;=33,30,IF(AC22&lt;=44,40,IF(AC22&lt;=66,60,AC22)))</f>
        <v>#DIV/0!</v>
      </c>
    </row>
    <row r="23" spans="1:29" ht="14.25">
      <c r="A23" s="37">
        <v>22</v>
      </c>
      <c r="B23" s="92" t="s">
        <v>49</v>
      </c>
      <c r="C23" s="92"/>
      <c r="D23" s="92"/>
      <c r="E23" s="92"/>
      <c r="F23" s="92"/>
      <c r="G23" s="92"/>
      <c r="H23" s="92"/>
      <c r="I23" s="92"/>
      <c r="J23" s="92"/>
      <c r="K23" s="92"/>
      <c r="L23" s="94" t="s">
        <v>24</v>
      </c>
      <c r="M23" s="94"/>
      <c r="N23" s="94"/>
      <c r="O23" s="89"/>
      <c r="P23" s="106"/>
      <c r="Q23" s="90"/>
      <c r="R23" s="91"/>
      <c r="Z23" s="12" t="s">
        <v>78</v>
      </c>
      <c r="AB23" s="22" t="e">
        <f>IF(ROUND(AB15+O18+IF(O20="+",1,-1)*P20*N13/10+AB9,1)&lt;=10,AB15+O18+IF(O20="+",1,-1)*P20*N13/10+AB9,(AB15+O18+IF(O20="+",1,-1)*P20*N13/10+AB9)*1.05)</f>
        <v>#DIV/0!</v>
      </c>
      <c r="AC23" s="12" t="s">
        <v>82</v>
      </c>
    </row>
    <row r="24" spans="1:18" ht="14.25">
      <c r="A24" s="37">
        <v>23</v>
      </c>
      <c r="B24" s="92" t="s">
        <v>43</v>
      </c>
      <c r="C24" s="92"/>
      <c r="D24" s="92"/>
      <c r="E24" s="92"/>
      <c r="F24" s="92"/>
      <c r="G24" s="107"/>
      <c r="H24" s="92"/>
      <c r="I24" s="92"/>
      <c r="J24" s="92"/>
      <c r="K24" s="92"/>
      <c r="L24" s="94" t="s">
        <v>24</v>
      </c>
      <c r="M24" s="94"/>
      <c r="N24" s="94"/>
      <c r="O24" s="89">
        <f>J6+1</f>
        <v>1</v>
      </c>
      <c r="P24" s="90"/>
      <c r="Q24" s="90"/>
      <c r="R24" s="91"/>
    </row>
    <row r="25" spans="1:27" ht="15" customHeight="1">
      <c r="A25" s="37">
        <v>24</v>
      </c>
      <c r="B25" s="67" t="s">
        <v>110</v>
      </c>
      <c r="C25" s="95"/>
      <c r="D25" s="95"/>
      <c r="E25" s="95"/>
      <c r="F25" s="95"/>
      <c r="G25" s="40">
        <v>3</v>
      </c>
      <c r="H25" s="104" t="s">
        <v>111</v>
      </c>
      <c r="I25" s="104"/>
      <c r="J25" s="104"/>
      <c r="K25" s="105"/>
      <c r="L25" s="88" t="s">
        <v>92</v>
      </c>
      <c r="M25" s="88"/>
      <c r="N25" s="32"/>
      <c r="O25" s="88" t="s">
        <v>92</v>
      </c>
      <c r="P25" s="88"/>
      <c r="Q25" s="89"/>
      <c r="R25" s="91"/>
      <c r="Z25" s="12">
        <f>IF(J6&lt;10,J6+1,J6*1.1)</f>
        <v>1</v>
      </c>
      <c r="AA25" s="12" t="s">
        <v>83</v>
      </c>
    </row>
    <row r="26" spans="1:26" ht="14.25">
      <c r="A26" s="37"/>
      <c r="B26" s="97"/>
      <c r="C26" s="98"/>
      <c r="D26" s="99" t="s">
        <v>21</v>
      </c>
      <c r="E26" s="100"/>
      <c r="F26" s="100"/>
      <c r="G26" s="101"/>
      <c r="H26" s="102"/>
      <c r="I26" s="99" t="s">
        <v>22</v>
      </c>
      <c r="J26" s="100"/>
      <c r="K26" s="100"/>
      <c r="L26" s="100"/>
      <c r="M26" s="100"/>
      <c r="N26" s="100"/>
      <c r="O26" s="100"/>
      <c r="P26" s="100"/>
      <c r="Q26" s="100"/>
      <c r="R26" s="103"/>
      <c r="Z26" s="12" t="e">
        <f>ROUND(IF(AB23&lt;10,AB23+1,AB23*1.1),1)</f>
        <v>#DIV/0!</v>
      </c>
    </row>
    <row r="27" spans="1:18" ht="14.25">
      <c r="A27" s="37"/>
      <c r="B27" s="67" t="s">
        <v>51</v>
      </c>
      <c r="C27" s="68"/>
      <c r="D27" s="38" t="s">
        <v>25</v>
      </c>
      <c r="E27" s="38" t="s">
        <v>26</v>
      </c>
      <c r="F27" s="92" t="s">
        <v>27</v>
      </c>
      <c r="G27" s="92"/>
      <c r="H27" s="92"/>
      <c r="I27" s="92" t="s">
        <v>25</v>
      </c>
      <c r="J27" s="92"/>
      <c r="K27" s="92"/>
      <c r="L27" s="94" t="s">
        <v>26</v>
      </c>
      <c r="M27" s="94"/>
      <c r="N27" s="67" t="s">
        <v>28</v>
      </c>
      <c r="O27" s="95"/>
      <c r="P27" s="95"/>
      <c r="Q27" s="95"/>
      <c r="R27" s="96"/>
    </row>
    <row r="28" spans="1:18" ht="15" customHeight="1">
      <c r="A28" s="37">
        <v>25</v>
      </c>
      <c r="B28" s="92" t="s">
        <v>29</v>
      </c>
      <c r="C28" s="92"/>
      <c r="D28" s="41"/>
      <c r="E28" s="41"/>
      <c r="F28" s="93"/>
      <c r="G28" s="93"/>
      <c r="H28" s="93"/>
      <c r="I28" s="93"/>
      <c r="J28" s="93"/>
      <c r="K28" s="93"/>
      <c r="L28" s="88"/>
      <c r="M28" s="88"/>
      <c r="N28" s="89"/>
      <c r="O28" s="90"/>
      <c r="P28" s="90"/>
      <c r="Q28" s="90"/>
      <c r="R28" s="91"/>
    </row>
    <row r="29" spans="1:18" ht="14.25">
      <c r="A29" s="37">
        <v>26</v>
      </c>
      <c r="B29" s="92" t="s">
        <v>30</v>
      </c>
      <c r="C29" s="92"/>
      <c r="D29" s="41"/>
      <c r="E29" s="41"/>
      <c r="F29" s="93"/>
      <c r="G29" s="93"/>
      <c r="H29" s="93"/>
      <c r="I29" s="93"/>
      <c r="J29" s="93"/>
      <c r="K29" s="93"/>
      <c r="L29" s="88"/>
      <c r="M29" s="88"/>
      <c r="N29" s="89"/>
      <c r="O29" s="90"/>
      <c r="P29" s="90"/>
      <c r="Q29" s="90"/>
      <c r="R29" s="91"/>
    </row>
    <row r="30" spans="1:18" ht="14.25">
      <c r="A30" s="37">
        <v>27</v>
      </c>
      <c r="B30" s="87" t="s">
        <v>108</v>
      </c>
      <c r="C30" s="87"/>
      <c r="D30" s="41"/>
      <c r="E30" s="41"/>
      <c r="F30" s="88"/>
      <c r="G30" s="88"/>
      <c r="H30" s="88"/>
      <c r="I30" s="88"/>
      <c r="J30" s="88"/>
      <c r="K30" s="88"/>
      <c r="L30" s="88"/>
      <c r="M30" s="88"/>
      <c r="N30" s="89"/>
      <c r="O30" s="90"/>
      <c r="P30" s="90"/>
      <c r="Q30" s="90"/>
      <c r="R30" s="91"/>
    </row>
    <row r="31" spans="1:18" ht="14.25">
      <c r="A31" s="37">
        <v>28</v>
      </c>
      <c r="B31" s="87" t="s">
        <v>109</v>
      </c>
      <c r="C31" s="87"/>
      <c r="D31" s="41"/>
      <c r="E31" s="41"/>
      <c r="F31" s="88"/>
      <c r="G31" s="88"/>
      <c r="H31" s="88"/>
      <c r="I31" s="88"/>
      <c r="J31" s="88"/>
      <c r="K31" s="88"/>
      <c r="L31" s="88"/>
      <c r="M31" s="88"/>
      <c r="N31" s="89"/>
      <c r="O31" s="90"/>
      <c r="P31" s="90"/>
      <c r="Q31" s="90"/>
      <c r="R31" s="91"/>
    </row>
    <row r="32" spans="1:18" ht="14.25">
      <c r="A32" s="37">
        <v>29</v>
      </c>
      <c r="B32" s="87" t="s">
        <v>109</v>
      </c>
      <c r="C32" s="87"/>
      <c r="D32" s="41"/>
      <c r="E32" s="41"/>
      <c r="F32" s="88"/>
      <c r="G32" s="88"/>
      <c r="H32" s="88"/>
      <c r="I32" s="88"/>
      <c r="J32" s="88"/>
      <c r="K32" s="88"/>
      <c r="L32" s="88"/>
      <c r="M32" s="88"/>
      <c r="N32" s="89"/>
      <c r="O32" s="90"/>
      <c r="P32" s="90"/>
      <c r="Q32" s="90"/>
      <c r="R32" s="91"/>
    </row>
    <row r="33" spans="1:18" ht="14.25">
      <c r="A33" s="37">
        <v>30</v>
      </c>
      <c r="B33" s="67" t="s">
        <v>31</v>
      </c>
      <c r="C33" s="68"/>
      <c r="D33" s="69"/>
      <c r="E33" s="70"/>
      <c r="F33" s="70"/>
      <c r="G33" s="70"/>
      <c r="H33" s="70"/>
      <c r="I33" s="70"/>
      <c r="J33" s="70"/>
      <c r="K33" s="70"/>
      <c r="L33" s="70"/>
      <c r="M33" s="70"/>
      <c r="N33" s="70"/>
      <c r="O33" s="70"/>
      <c r="P33" s="70"/>
      <c r="Q33" s="70"/>
      <c r="R33" s="71"/>
    </row>
    <row r="34" spans="1:18" ht="15" customHeight="1" thickBot="1">
      <c r="A34" s="42">
        <v>31</v>
      </c>
      <c r="B34" s="72" t="s">
        <v>32</v>
      </c>
      <c r="C34" s="73"/>
      <c r="D34" s="74"/>
      <c r="E34" s="74"/>
      <c r="F34" s="74"/>
      <c r="G34" s="74"/>
      <c r="H34" s="74"/>
      <c r="I34" s="74"/>
      <c r="J34" s="74"/>
      <c r="K34" s="74"/>
      <c r="L34" s="74"/>
      <c r="M34" s="74"/>
      <c r="N34" s="74"/>
      <c r="O34" s="74"/>
      <c r="P34" s="74"/>
      <c r="Q34" s="74"/>
      <c r="R34" s="75"/>
    </row>
    <row r="35" spans="1:18" ht="14.25">
      <c r="A35" s="76"/>
      <c r="B35" s="77"/>
      <c r="C35" s="77"/>
      <c r="D35" s="77"/>
      <c r="E35" s="77"/>
      <c r="F35" s="77"/>
      <c r="G35" s="77"/>
      <c r="H35" s="77"/>
      <c r="I35" s="77"/>
      <c r="J35" s="77"/>
      <c r="K35" s="77"/>
      <c r="L35" s="77"/>
      <c r="M35" s="82" t="s">
        <v>79</v>
      </c>
      <c r="N35" s="82"/>
      <c r="O35" s="82"/>
      <c r="P35" s="82"/>
      <c r="Q35" s="82"/>
      <c r="R35" s="83"/>
    </row>
    <row r="36" spans="1:26" ht="14.25">
      <c r="A36" s="78"/>
      <c r="B36" s="79"/>
      <c r="C36" s="79"/>
      <c r="D36" s="79"/>
      <c r="E36" s="79"/>
      <c r="F36" s="79"/>
      <c r="G36" s="79"/>
      <c r="H36" s="79"/>
      <c r="I36" s="79"/>
      <c r="J36" s="79"/>
      <c r="K36" s="79"/>
      <c r="L36" s="79"/>
      <c r="M36" s="84"/>
      <c r="N36" s="85"/>
      <c r="O36" s="85"/>
      <c r="P36" s="85"/>
      <c r="Q36" s="85"/>
      <c r="R36" s="86"/>
      <c r="Z36" s="12" t="e">
        <f>"NPSHA = "&amp;ROUND(AB11*10/N13,1)&amp;" MLC"</f>
        <v>#DIV/0!</v>
      </c>
    </row>
    <row r="37" spans="1:26" ht="14.25">
      <c r="A37" s="78"/>
      <c r="B37" s="79"/>
      <c r="C37" s="79"/>
      <c r="D37" s="79"/>
      <c r="E37" s="79"/>
      <c r="F37" s="79"/>
      <c r="G37" s="79"/>
      <c r="H37" s="79"/>
      <c r="I37" s="79"/>
      <c r="J37" s="79"/>
      <c r="K37" s="79"/>
      <c r="L37" s="79"/>
      <c r="M37" s="58"/>
      <c r="N37" s="59"/>
      <c r="O37" s="59"/>
      <c r="P37" s="59"/>
      <c r="Q37" s="59"/>
      <c r="R37" s="60"/>
      <c r="Z37" s="12" t="e">
        <f>"NPSHR = "&amp;ROUND(AB10*10/N13,1)&amp;" MLC"</f>
        <v>#DIV/0!</v>
      </c>
    </row>
    <row r="38" spans="1:26" ht="14.25">
      <c r="A38" s="78"/>
      <c r="B38" s="79"/>
      <c r="C38" s="79"/>
      <c r="D38" s="79"/>
      <c r="E38" s="79"/>
      <c r="F38" s="79"/>
      <c r="G38" s="79"/>
      <c r="H38" s="79"/>
      <c r="I38" s="79"/>
      <c r="J38" s="79"/>
      <c r="K38" s="79"/>
      <c r="L38" s="79"/>
      <c r="M38" s="58"/>
      <c r="N38" s="59"/>
      <c r="O38" s="59"/>
      <c r="P38" s="59"/>
      <c r="Q38" s="59"/>
      <c r="R38" s="60"/>
      <c r="Z38" s="12" t="e">
        <f>IF(OR(ROUND(AB12,2)&lt;0.1,ROUND(AB16,2)&lt;0.4),"Increase Suction Pipe NB","")</f>
        <v>#DIV/0!</v>
      </c>
    </row>
    <row r="39" spans="1:26" ht="14.25">
      <c r="A39" s="78"/>
      <c r="B39" s="79"/>
      <c r="C39" s="79"/>
      <c r="D39" s="79"/>
      <c r="E39" s="79"/>
      <c r="F39" s="79"/>
      <c r="G39" s="79"/>
      <c r="H39" s="79"/>
      <c r="I39" s="79"/>
      <c r="J39" s="79"/>
      <c r="K39" s="79"/>
      <c r="L39" s="79"/>
      <c r="M39" s="58"/>
      <c r="N39" s="59"/>
      <c r="O39" s="59"/>
      <c r="P39" s="59"/>
      <c r="Q39" s="59"/>
      <c r="R39" s="60"/>
      <c r="Z39" s="12" t="e">
        <f>IF(OR(ROUND(AB12,2)&lt;0.1,ROUND(AB16,2)&lt;0.4),"Increase Suction Static Head","")</f>
        <v>#DIV/0!</v>
      </c>
    </row>
    <row r="40" spans="1:26" ht="14.25">
      <c r="A40" s="78"/>
      <c r="B40" s="79"/>
      <c r="C40" s="79"/>
      <c r="D40" s="79"/>
      <c r="E40" s="79"/>
      <c r="F40" s="79"/>
      <c r="G40" s="79"/>
      <c r="H40" s="79"/>
      <c r="I40" s="79"/>
      <c r="J40" s="79"/>
      <c r="K40" s="79"/>
      <c r="L40" s="79"/>
      <c r="M40" s="58"/>
      <c r="N40" s="59"/>
      <c r="O40" s="59"/>
      <c r="P40" s="59"/>
      <c r="Q40" s="59"/>
      <c r="R40" s="60"/>
      <c r="Z40" s="12" t="e">
        <f>IF(OR(ROUND(AB12,2)&lt;0.1,ROUND(AB16,2)&lt;0.4),"Reduce Suction Pipe Horizontal Length","")</f>
        <v>#DIV/0!</v>
      </c>
    </row>
    <row r="41" spans="1:26" ht="14.25">
      <c r="A41" s="78"/>
      <c r="B41" s="79"/>
      <c r="C41" s="79"/>
      <c r="D41" s="79"/>
      <c r="E41" s="79"/>
      <c r="F41" s="79"/>
      <c r="G41" s="79"/>
      <c r="H41" s="79"/>
      <c r="I41" s="79"/>
      <c r="J41" s="79"/>
      <c r="K41" s="79"/>
      <c r="L41" s="79"/>
      <c r="M41" s="58"/>
      <c r="N41" s="59"/>
      <c r="O41" s="59"/>
      <c r="P41" s="59"/>
      <c r="Q41" s="59"/>
      <c r="R41" s="60"/>
      <c r="Z41" s="12" t="e">
        <f>IF(OR(AND(ROUND(AB12,2)&lt;0.1,L25="NO"),AND(ROUND(AB16,2)&lt;0.4,L25="NO")),"Provide Suction Damper of Minimum "&amp;ROUND(AB20,1)&amp;" Lit","")</f>
        <v>#DIV/0!</v>
      </c>
    </row>
    <row r="42" spans="1:26" ht="14.25">
      <c r="A42" s="78"/>
      <c r="B42" s="79"/>
      <c r="C42" s="79"/>
      <c r="D42" s="79"/>
      <c r="E42" s="79"/>
      <c r="F42" s="79"/>
      <c r="G42" s="79"/>
      <c r="H42" s="79"/>
      <c r="I42" s="79"/>
      <c r="J42" s="79"/>
      <c r="K42" s="79"/>
      <c r="L42" s="79"/>
      <c r="M42" s="64"/>
      <c r="N42" s="65"/>
      <c r="O42" s="65"/>
      <c r="P42" s="65"/>
      <c r="Q42" s="65"/>
      <c r="R42" s="66"/>
      <c r="Z42" s="12" t="e">
        <f>IF(AND(ROUND(AB16,2)&lt;0.4,O23="NO"),"Provide Back Pressure valve @ "&amp;ROUND(IF(ABS(AB13-0.4)&lt;1,1,ABS(AB13-0.4)),1)&amp;" Kg/cm sq","")</f>
        <v>#DIV/0!</v>
      </c>
    </row>
    <row r="43" spans="1:26" ht="14.25">
      <c r="A43" s="78"/>
      <c r="B43" s="79"/>
      <c r="C43" s="79"/>
      <c r="D43" s="79"/>
      <c r="E43" s="79"/>
      <c r="F43" s="79"/>
      <c r="G43" s="79"/>
      <c r="H43" s="79"/>
      <c r="I43" s="79"/>
      <c r="J43" s="79"/>
      <c r="K43" s="79"/>
      <c r="L43" s="79"/>
      <c r="M43" s="58"/>
      <c r="N43" s="59"/>
      <c r="O43" s="59"/>
      <c r="P43" s="59"/>
      <c r="Q43" s="59"/>
      <c r="R43" s="60"/>
      <c r="Z43" s="12" t="e">
        <f>IF(OR(ROUND(AB16,2)&lt;0.4,AND(J6&lt;ROUND(AB23,1),ROUND(AB9/AB23,2)&gt;0.2)),"Increse Discharge Pipe NB","")</f>
        <v>#DIV/0!</v>
      </c>
    </row>
    <row r="44" spans="1:26" ht="14.25">
      <c r="A44" s="78"/>
      <c r="B44" s="79"/>
      <c r="C44" s="79"/>
      <c r="D44" s="79"/>
      <c r="E44" s="79"/>
      <c r="F44" s="79"/>
      <c r="G44" s="79"/>
      <c r="H44" s="79"/>
      <c r="I44" s="79"/>
      <c r="J44" s="79"/>
      <c r="K44" s="79"/>
      <c r="L44" s="79"/>
      <c r="M44" s="58"/>
      <c r="N44" s="59"/>
      <c r="O44" s="59"/>
      <c r="P44" s="59"/>
      <c r="Q44" s="59"/>
      <c r="R44" s="60"/>
      <c r="Z44" s="12" t="e">
        <f>IF(OR(ROUND(AB16,2)&lt;0.4,AND(J6&lt;ROUND(AB23,1),ROUND(AB9/AB23,2)&gt;0.2)),"Reduce Discharge Pipe Horizontal Lenght","")</f>
        <v>#DIV/0!</v>
      </c>
    </row>
    <row r="45" spans="1:26" ht="14.25">
      <c r="A45" s="78"/>
      <c r="B45" s="79"/>
      <c r="C45" s="79"/>
      <c r="D45" s="79"/>
      <c r="E45" s="79"/>
      <c r="F45" s="79"/>
      <c r="G45" s="79"/>
      <c r="H45" s="79"/>
      <c r="I45" s="79"/>
      <c r="J45" s="79"/>
      <c r="K45" s="79"/>
      <c r="L45" s="79"/>
      <c r="M45" s="58"/>
      <c r="N45" s="59"/>
      <c r="O45" s="59"/>
      <c r="P45" s="59"/>
      <c r="Q45" s="59"/>
      <c r="R45" s="60"/>
      <c r="Z45" s="12" t="e">
        <f>IF(OR(AND(ROUND(AB16,2)&lt;0.4,O25="NO"),AND(J6&lt;ROUND(AB23,1),O25="NO",ROUND(AB9/AB23,2)&gt;0.2)),"Provide Discharge Damper of "&amp;ROUND(AB22,1)&amp;" Lit","")</f>
        <v>#DIV/0!</v>
      </c>
    </row>
    <row r="46" spans="1:26" ht="14.25">
      <c r="A46" s="78"/>
      <c r="B46" s="79"/>
      <c r="C46" s="79"/>
      <c r="D46" s="79"/>
      <c r="E46" s="79"/>
      <c r="F46" s="79"/>
      <c r="G46" s="79"/>
      <c r="H46" s="79"/>
      <c r="I46" s="79"/>
      <c r="J46" s="79"/>
      <c r="K46" s="79"/>
      <c r="L46" s="79"/>
      <c r="M46" s="58"/>
      <c r="N46" s="59"/>
      <c r="O46" s="59"/>
      <c r="P46" s="59"/>
      <c r="Q46" s="59"/>
      <c r="R46" s="60"/>
      <c r="U46" s="1"/>
      <c r="Z46" s="12" t="e">
        <f>IF(AND(L25="YES",N25&lt;AB20*0.95),"Increase Suction Damper Volume to "&amp;ROUND(AB20,1)&amp;" Lit","")</f>
        <v>#DIV/0!</v>
      </c>
    </row>
    <row r="47" spans="1:26" ht="14.25">
      <c r="A47" s="78"/>
      <c r="B47" s="79"/>
      <c r="C47" s="79"/>
      <c r="D47" s="79"/>
      <c r="E47" s="79"/>
      <c r="F47" s="79"/>
      <c r="G47" s="79"/>
      <c r="H47" s="79"/>
      <c r="I47" s="79"/>
      <c r="J47" s="79"/>
      <c r="K47" s="79"/>
      <c r="L47" s="79"/>
      <c r="M47" s="58"/>
      <c r="N47" s="59"/>
      <c r="O47" s="59"/>
      <c r="P47" s="59"/>
      <c r="Q47" s="59"/>
      <c r="R47" s="60"/>
      <c r="Z47" s="12" t="e">
        <f>IF(AND(O25="YES",Q25&lt;AB22*0.95),"Increase Discharge Damper Volume to "&amp;ROUND(AB22,1)&amp;" Lit","")</f>
        <v>#DIV/0!</v>
      </c>
    </row>
    <row r="48" spans="1:26" ht="14.25">
      <c r="A48" s="78"/>
      <c r="B48" s="79"/>
      <c r="C48" s="79"/>
      <c r="D48" s="79"/>
      <c r="E48" s="79"/>
      <c r="F48" s="79"/>
      <c r="G48" s="79"/>
      <c r="H48" s="79"/>
      <c r="I48" s="79"/>
      <c r="J48" s="79"/>
      <c r="K48" s="79"/>
      <c r="L48" s="79"/>
      <c r="M48" s="58"/>
      <c r="N48" s="59"/>
      <c r="O48" s="59"/>
      <c r="P48" s="59"/>
      <c r="Q48" s="59"/>
      <c r="R48" s="60"/>
      <c r="Z48" s="12" t="e">
        <f>IF(AND(O23="YES",Q23&lt;ROUND(AB14,1)),"Increase BPV Setting to "&amp;ROUND(AB14,1)&amp;" Kg/Cm Sq",IF(AND(O23="YES",AB14=0),"BPV is not required",IF(AND(O23="YES",Q23&gt;ROUND(AB14*1.05,1)),"Reduce BPV Setting to "&amp;ROUND(AB14,1)&amp;" Kg/Cm Sq","")))</f>
        <v>#DIV/0!</v>
      </c>
    </row>
    <row r="49" spans="1:26" ht="14.25">
      <c r="A49" s="78"/>
      <c r="B49" s="79"/>
      <c r="C49" s="79"/>
      <c r="D49" s="79"/>
      <c r="E49" s="79"/>
      <c r="F49" s="79"/>
      <c r="G49" s="79"/>
      <c r="H49" s="79"/>
      <c r="I49" s="79"/>
      <c r="J49" s="79"/>
      <c r="K49" s="79"/>
      <c r="L49" s="79"/>
      <c r="M49" s="58"/>
      <c r="N49" s="59"/>
      <c r="O49" s="59"/>
      <c r="P49" s="59"/>
      <c r="Q49" s="59"/>
      <c r="R49" s="60"/>
      <c r="Z49" s="12" t="e">
        <f>IF(J6&lt;ROUND(AB23,1),"Required Min Pump Disch Pr ="&amp;ROUND(AB23,1)&amp;" Kg/cm sq","")</f>
        <v>#DIV/0!</v>
      </c>
    </row>
    <row r="50" spans="1:26" ht="14.25">
      <c r="A50" s="78"/>
      <c r="B50" s="79"/>
      <c r="C50" s="79"/>
      <c r="D50" s="79"/>
      <c r="E50" s="79"/>
      <c r="F50" s="79"/>
      <c r="G50" s="79"/>
      <c r="H50" s="79"/>
      <c r="I50" s="79"/>
      <c r="J50" s="79"/>
      <c r="K50" s="79"/>
      <c r="L50" s="79"/>
      <c r="M50" s="58"/>
      <c r="N50" s="59"/>
      <c r="O50" s="59"/>
      <c r="P50" s="59"/>
      <c r="Q50" s="59"/>
      <c r="R50" s="60"/>
      <c r="Z50" s="12" t="e">
        <f>IF(O24&lt;ROUND(IF(AB23&lt;10,AB23+1,AB23*1.1),1),"Required Min SRV Set Pr = "&amp;ROUND(IF(AB23&lt;10,AB23+1,AB23*1.1),1)&amp;" Kg/cm sq","")</f>
        <v>#DIV/0!</v>
      </c>
    </row>
    <row r="51" spans="1:26" ht="14.25">
      <c r="A51" s="78"/>
      <c r="B51" s="79"/>
      <c r="C51" s="79"/>
      <c r="D51" s="79"/>
      <c r="E51" s="79"/>
      <c r="F51" s="79"/>
      <c r="G51" s="79"/>
      <c r="H51" s="79"/>
      <c r="I51" s="79"/>
      <c r="J51" s="79"/>
      <c r="K51" s="79"/>
      <c r="L51" s="79"/>
      <c r="M51" s="58"/>
      <c r="N51" s="59"/>
      <c r="O51" s="59"/>
      <c r="P51" s="59"/>
      <c r="Q51" s="59"/>
      <c r="R51" s="60"/>
      <c r="Z51" s="12">
        <f>IF(L22="NO","Suction Strainer is Mandatory","")</f>
      </c>
    </row>
    <row r="52" spans="1:18" ht="14.25">
      <c r="A52" s="78"/>
      <c r="B52" s="79"/>
      <c r="C52" s="79"/>
      <c r="D52" s="79"/>
      <c r="E52" s="79"/>
      <c r="F52" s="79"/>
      <c r="G52" s="79"/>
      <c r="H52" s="79"/>
      <c r="I52" s="79"/>
      <c r="J52" s="79"/>
      <c r="K52" s="79"/>
      <c r="L52" s="79"/>
      <c r="M52" s="58"/>
      <c r="N52" s="59"/>
      <c r="O52" s="59"/>
      <c r="P52" s="59"/>
      <c r="Q52" s="59"/>
      <c r="R52" s="60"/>
    </row>
    <row r="53" spans="1:18" ht="14.25">
      <c r="A53" s="78"/>
      <c r="B53" s="79"/>
      <c r="C53" s="79"/>
      <c r="D53" s="79"/>
      <c r="E53" s="79"/>
      <c r="F53" s="79"/>
      <c r="G53" s="79"/>
      <c r="H53" s="79"/>
      <c r="I53" s="79"/>
      <c r="J53" s="79"/>
      <c r="K53" s="79"/>
      <c r="L53" s="79"/>
      <c r="M53" s="58"/>
      <c r="N53" s="59"/>
      <c r="O53" s="59"/>
      <c r="P53" s="59"/>
      <c r="Q53" s="59"/>
      <c r="R53" s="60"/>
    </row>
    <row r="54" spans="1:18" ht="14.25">
      <c r="A54" s="78"/>
      <c r="B54" s="79"/>
      <c r="C54" s="79"/>
      <c r="D54" s="79"/>
      <c r="E54" s="79"/>
      <c r="F54" s="79"/>
      <c r="G54" s="79"/>
      <c r="H54" s="79"/>
      <c r="I54" s="79"/>
      <c r="J54" s="79"/>
      <c r="K54" s="79"/>
      <c r="L54" s="79"/>
      <c r="M54" s="58"/>
      <c r="N54" s="59"/>
      <c r="O54" s="59"/>
      <c r="P54" s="59"/>
      <c r="Q54" s="59"/>
      <c r="R54" s="60"/>
    </row>
    <row r="55" spans="1:18" ht="14.25">
      <c r="A55" s="78"/>
      <c r="B55" s="79"/>
      <c r="C55" s="79"/>
      <c r="D55" s="79"/>
      <c r="E55" s="79"/>
      <c r="F55" s="79"/>
      <c r="G55" s="79"/>
      <c r="H55" s="79"/>
      <c r="I55" s="79"/>
      <c r="J55" s="79"/>
      <c r="K55" s="79"/>
      <c r="L55" s="79"/>
      <c r="M55" s="58"/>
      <c r="N55" s="59"/>
      <c r="O55" s="59"/>
      <c r="P55" s="59"/>
      <c r="Q55" s="59"/>
      <c r="R55" s="60"/>
    </row>
    <row r="56" spans="1:26" ht="14.25">
      <c r="A56" s="78"/>
      <c r="B56" s="79"/>
      <c r="C56" s="79"/>
      <c r="D56" s="79"/>
      <c r="E56" s="79"/>
      <c r="F56" s="79"/>
      <c r="G56" s="79"/>
      <c r="H56" s="79"/>
      <c r="I56" s="79"/>
      <c r="J56" s="79"/>
      <c r="K56" s="79"/>
      <c r="L56" s="79"/>
      <c r="M56" s="58"/>
      <c r="N56" s="59"/>
      <c r="O56" s="59"/>
      <c r="P56" s="59"/>
      <c r="Q56" s="59"/>
      <c r="R56" s="60"/>
      <c r="Z56" s="12" t="e">
        <f>IF(AND(Z38="",Z39="",Z40="",Z41="",Z42="",Z43="",Z44="",Z45="",Z46="",Z47="",Z48="",Z49="",Z50="",Z51="",Z52="",Z53="",Z54="",Z55=""),"Acceptable Installation","")</f>
        <v>#DIV/0!</v>
      </c>
    </row>
    <row r="57" spans="1:18" ht="15" thickBot="1">
      <c r="A57" s="80"/>
      <c r="B57" s="81"/>
      <c r="C57" s="81"/>
      <c r="D57" s="81"/>
      <c r="E57" s="81"/>
      <c r="F57" s="81"/>
      <c r="G57" s="81"/>
      <c r="H57" s="81"/>
      <c r="I57" s="81"/>
      <c r="J57" s="81"/>
      <c r="K57" s="81"/>
      <c r="L57" s="81"/>
      <c r="M57" s="61"/>
      <c r="N57" s="62"/>
      <c r="O57" s="62"/>
      <c r="P57" s="62"/>
      <c r="Q57" s="62"/>
      <c r="R57" s="63"/>
    </row>
    <row r="58" spans="1:18" ht="14.25">
      <c r="A58" s="45" t="s">
        <v>33</v>
      </c>
      <c r="B58" s="46"/>
      <c r="C58" s="46"/>
      <c r="D58" s="46"/>
      <c r="E58" s="46"/>
      <c r="F58" s="46"/>
      <c r="G58" s="46"/>
      <c r="H58" s="46"/>
      <c r="I58" s="46"/>
      <c r="J58" s="46"/>
      <c r="K58" s="46"/>
      <c r="L58" s="46"/>
      <c r="M58" s="46"/>
      <c r="N58" s="46"/>
      <c r="O58" s="46"/>
      <c r="P58" s="46"/>
      <c r="Q58" s="46"/>
      <c r="R58" s="47"/>
    </row>
    <row r="59" spans="1:18" ht="15" customHeight="1">
      <c r="A59" s="48" t="s">
        <v>44</v>
      </c>
      <c r="B59" s="49"/>
      <c r="C59" s="49"/>
      <c r="D59" s="49"/>
      <c r="E59" s="49"/>
      <c r="F59" s="49"/>
      <c r="G59" s="49"/>
      <c r="H59" s="49"/>
      <c r="I59" s="49"/>
      <c r="J59" s="49"/>
      <c r="K59" s="49"/>
      <c r="L59" s="49"/>
      <c r="M59" s="49"/>
      <c r="N59" s="49"/>
      <c r="O59" s="49"/>
      <c r="P59" s="49"/>
      <c r="Q59" s="49"/>
      <c r="R59" s="50"/>
    </row>
    <row r="60" spans="1:18" ht="15" customHeight="1">
      <c r="A60" s="48" t="s">
        <v>45</v>
      </c>
      <c r="B60" s="49"/>
      <c r="C60" s="49"/>
      <c r="D60" s="49"/>
      <c r="E60" s="49"/>
      <c r="F60" s="49"/>
      <c r="G60" s="49"/>
      <c r="H60" s="49"/>
      <c r="I60" s="49"/>
      <c r="J60" s="49"/>
      <c r="K60" s="49"/>
      <c r="L60" s="49"/>
      <c r="M60" s="49"/>
      <c r="N60" s="49"/>
      <c r="O60" s="49"/>
      <c r="P60" s="49"/>
      <c r="Q60" s="49"/>
      <c r="R60" s="50"/>
    </row>
    <row r="61" spans="1:18" ht="15" customHeight="1">
      <c r="A61" s="48" t="s">
        <v>46</v>
      </c>
      <c r="B61" s="49"/>
      <c r="C61" s="49"/>
      <c r="D61" s="49"/>
      <c r="E61" s="49"/>
      <c r="F61" s="49"/>
      <c r="G61" s="49"/>
      <c r="H61" s="49"/>
      <c r="I61" s="49"/>
      <c r="J61" s="49"/>
      <c r="K61" s="49"/>
      <c r="L61" s="49"/>
      <c r="M61" s="49"/>
      <c r="N61" s="49"/>
      <c r="O61" s="49"/>
      <c r="P61" s="49"/>
      <c r="Q61" s="49"/>
      <c r="R61" s="50"/>
    </row>
    <row r="62" spans="1:18" ht="25.5" customHeight="1" thickBot="1">
      <c r="A62" s="51" t="s">
        <v>50</v>
      </c>
      <c r="B62" s="52"/>
      <c r="C62" s="52"/>
      <c r="D62" s="52"/>
      <c r="E62" s="52"/>
      <c r="F62" s="52"/>
      <c r="G62" s="52"/>
      <c r="H62" s="52"/>
      <c r="I62" s="53"/>
      <c r="J62" s="53"/>
      <c r="K62" s="53"/>
      <c r="L62" s="53"/>
      <c r="M62" s="53"/>
      <c r="N62" s="53"/>
      <c r="O62" s="53"/>
      <c r="P62" s="53"/>
      <c r="Q62" s="53"/>
      <c r="R62" s="54"/>
    </row>
    <row r="63" spans="2:8" ht="15">
      <c r="B63" s="55" t="s">
        <v>90</v>
      </c>
      <c r="C63" s="56"/>
      <c r="D63" s="56"/>
      <c r="E63" s="56"/>
      <c r="F63" s="56"/>
      <c r="G63" s="56"/>
      <c r="H63" s="57"/>
    </row>
    <row r="64" spans="2:8" ht="14.25">
      <c r="B64" s="4"/>
      <c r="C64" s="43" t="s">
        <v>85</v>
      </c>
      <c r="D64" s="43"/>
      <c r="E64" s="43"/>
      <c r="F64" s="2" t="s">
        <v>96</v>
      </c>
      <c r="G64" s="3"/>
      <c r="H64" s="5"/>
    </row>
    <row r="65" spans="2:8" ht="14.25">
      <c r="B65" s="4"/>
      <c r="C65" s="43" t="s">
        <v>86</v>
      </c>
      <c r="D65" s="43"/>
      <c r="E65" s="43"/>
      <c r="F65" s="2"/>
      <c r="G65" s="3"/>
      <c r="H65" s="5"/>
    </row>
    <row r="66" spans="2:8" ht="14.25">
      <c r="B66" s="4"/>
      <c r="C66" s="43" t="s">
        <v>87</v>
      </c>
      <c r="D66" s="43"/>
      <c r="E66" s="43"/>
      <c r="F66" s="2"/>
      <c r="G66" s="3"/>
      <c r="H66" s="5"/>
    </row>
    <row r="67" spans="2:8" ht="14.25">
      <c r="B67" s="4"/>
      <c r="C67" s="43" t="s">
        <v>88</v>
      </c>
      <c r="D67" s="43"/>
      <c r="E67" s="43"/>
      <c r="F67" s="2"/>
      <c r="G67" s="3"/>
      <c r="H67" s="5"/>
    </row>
    <row r="68" spans="2:8" ht="14.25">
      <c r="B68" s="4"/>
      <c r="C68" s="43" t="s">
        <v>89</v>
      </c>
      <c r="D68" s="43"/>
      <c r="E68" s="43"/>
      <c r="F68" s="2"/>
      <c r="G68" s="3"/>
      <c r="H68" s="5"/>
    </row>
    <row r="69" spans="2:8" ht="15" thickBot="1">
      <c r="B69" s="6"/>
      <c r="C69" s="44" t="s">
        <v>91</v>
      </c>
      <c r="D69" s="44"/>
      <c r="E69" s="44"/>
      <c r="F69" s="7" t="str">
        <f>IF(AND(F64="Yes",F67&gt;0,F68&gt;0),"Yes","No")</f>
        <v>No</v>
      </c>
      <c r="G69" s="8"/>
      <c r="H69" s="9"/>
    </row>
  </sheetData>
  <sheetProtection password="C699" sheet="1" objects="1" scenarios="1" selectLockedCells="1"/>
  <mergeCells count="164">
    <mergeCell ref="C64:E64"/>
    <mergeCell ref="C65:E65"/>
    <mergeCell ref="C66:E66"/>
    <mergeCell ref="C67:E67"/>
    <mergeCell ref="C68:E68"/>
    <mergeCell ref="C69:E69"/>
    <mergeCell ref="A58:R58"/>
    <mergeCell ref="A59:R59"/>
    <mergeCell ref="A60:R60"/>
    <mergeCell ref="A61:R61"/>
    <mergeCell ref="A62:R62"/>
    <mergeCell ref="B63:H63"/>
    <mergeCell ref="M52:R52"/>
    <mergeCell ref="M53:R53"/>
    <mergeCell ref="M54:R54"/>
    <mergeCell ref="M55:R55"/>
    <mergeCell ref="M56:R56"/>
    <mergeCell ref="M57:R57"/>
    <mergeCell ref="M46:R46"/>
    <mergeCell ref="M47:R47"/>
    <mergeCell ref="M48:R48"/>
    <mergeCell ref="M49:R49"/>
    <mergeCell ref="M50:R50"/>
    <mergeCell ref="M51:R51"/>
    <mergeCell ref="M40:R40"/>
    <mergeCell ref="M41:R41"/>
    <mergeCell ref="M42:R42"/>
    <mergeCell ref="M43:R43"/>
    <mergeCell ref="M44:R44"/>
    <mergeCell ref="M45:R45"/>
    <mergeCell ref="B33:C33"/>
    <mergeCell ref="D33:R33"/>
    <mergeCell ref="B34:C34"/>
    <mergeCell ref="D34:R34"/>
    <mergeCell ref="A35:L57"/>
    <mergeCell ref="M35:R35"/>
    <mergeCell ref="M36:R36"/>
    <mergeCell ref="M37:R37"/>
    <mergeCell ref="M38:R38"/>
    <mergeCell ref="M39:R39"/>
    <mergeCell ref="B31:C31"/>
    <mergeCell ref="F31:H31"/>
    <mergeCell ref="I31:K31"/>
    <mergeCell ref="L31:M31"/>
    <mergeCell ref="N31:R31"/>
    <mergeCell ref="B32:C32"/>
    <mergeCell ref="F32:H32"/>
    <mergeCell ref="I32:K32"/>
    <mergeCell ref="L32:M32"/>
    <mergeCell ref="N32:R32"/>
    <mergeCell ref="B29:C29"/>
    <mergeCell ref="F29:H29"/>
    <mergeCell ref="I29:K29"/>
    <mergeCell ref="L29:M29"/>
    <mergeCell ref="N29:R29"/>
    <mergeCell ref="B30:C30"/>
    <mergeCell ref="F30:H30"/>
    <mergeCell ref="I30:K30"/>
    <mergeCell ref="L30:M30"/>
    <mergeCell ref="N30:R30"/>
    <mergeCell ref="B27:C27"/>
    <mergeCell ref="F27:H27"/>
    <mergeCell ref="I27:K27"/>
    <mergeCell ref="L27:M27"/>
    <mergeCell ref="N27:R27"/>
    <mergeCell ref="B28:C28"/>
    <mergeCell ref="F28:H28"/>
    <mergeCell ref="I28:K28"/>
    <mergeCell ref="L28:M28"/>
    <mergeCell ref="N28:R28"/>
    <mergeCell ref="B25:F25"/>
    <mergeCell ref="H25:K25"/>
    <mergeCell ref="L25:M25"/>
    <mergeCell ref="O25:P25"/>
    <mergeCell ref="Q25:R25"/>
    <mergeCell ref="B26:C26"/>
    <mergeCell ref="D26:H26"/>
    <mergeCell ref="I26:R26"/>
    <mergeCell ref="B23:K23"/>
    <mergeCell ref="L23:N23"/>
    <mergeCell ref="O23:P23"/>
    <mergeCell ref="Q23:R23"/>
    <mergeCell ref="B24:K24"/>
    <mergeCell ref="L24:N24"/>
    <mergeCell ref="O24:R24"/>
    <mergeCell ref="B21:K21"/>
    <mergeCell ref="L21:N21"/>
    <mergeCell ref="O21:R21"/>
    <mergeCell ref="B22:K22"/>
    <mergeCell ref="L22:N22"/>
    <mergeCell ref="O22:R22"/>
    <mergeCell ref="B19:K19"/>
    <mergeCell ref="L19:N19"/>
    <mergeCell ref="O19:R19"/>
    <mergeCell ref="B20:K20"/>
    <mergeCell ref="M20:N20"/>
    <mergeCell ref="P20:R20"/>
    <mergeCell ref="A16:R16"/>
    <mergeCell ref="A17:K17"/>
    <mergeCell ref="L17:N17"/>
    <mergeCell ref="O17:R17"/>
    <mergeCell ref="B18:K18"/>
    <mergeCell ref="L18:N18"/>
    <mergeCell ref="O18:R18"/>
    <mergeCell ref="B14:E14"/>
    <mergeCell ref="F14:I14"/>
    <mergeCell ref="K14:M14"/>
    <mergeCell ref="N14:R14"/>
    <mergeCell ref="B15:E15"/>
    <mergeCell ref="F15:G15"/>
    <mergeCell ref="H15:I15"/>
    <mergeCell ref="K15:M15"/>
    <mergeCell ref="N15:R15"/>
    <mergeCell ref="B12:E12"/>
    <mergeCell ref="F12:I12"/>
    <mergeCell ref="K12:M12"/>
    <mergeCell ref="N12:R12"/>
    <mergeCell ref="B13:E13"/>
    <mergeCell ref="F13:I13"/>
    <mergeCell ref="K13:M13"/>
    <mergeCell ref="N13:R13"/>
    <mergeCell ref="A9:R9"/>
    <mergeCell ref="A10:R10"/>
    <mergeCell ref="B11:E11"/>
    <mergeCell ref="F11:I11"/>
    <mergeCell ref="K11:M11"/>
    <mergeCell ref="N11:R11"/>
    <mergeCell ref="B8:C8"/>
    <mergeCell ref="D8:F8"/>
    <mergeCell ref="H8:I8"/>
    <mergeCell ref="J8:M8"/>
    <mergeCell ref="N8:O8"/>
    <mergeCell ref="P8:Q8"/>
    <mergeCell ref="B7:C7"/>
    <mergeCell ref="D7:F7"/>
    <mergeCell ref="H7:I7"/>
    <mergeCell ref="J7:M7"/>
    <mergeCell ref="N7:O7"/>
    <mergeCell ref="P7:Q7"/>
    <mergeCell ref="B6:C6"/>
    <mergeCell ref="D6:F6"/>
    <mergeCell ref="H6:I6"/>
    <mergeCell ref="J6:M6"/>
    <mergeCell ref="N6:O6"/>
    <mergeCell ref="P6:Q6"/>
    <mergeCell ref="A4:C4"/>
    <mergeCell ref="D4:R4"/>
    <mergeCell ref="Z4:AB4"/>
    <mergeCell ref="AC4:AD4"/>
    <mergeCell ref="B5:C5"/>
    <mergeCell ref="D5:F5"/>
    <mergeCell ref="H5:I5"/>
    <mergeCell ref="J5:O5"/>
    <mergeCell ref="P5:Q5"/>
    <mergeCell ref="A1:C3"/>
    <mergeCell ref="D1:I1"/>
    <mergeCell ref="J1:N1"/>
    <mergeCell ref="O1:R1"/>
    <mergeCell ref="D2:I2"/>
    <mergeCell ref="J2:N2"/>
    <mergeCell ref="O2:R2"/>
    <mergeCell ref="D3:I3"/>
    <mergeCell ref="J3:N3"/>
    <mergeCell ref="O3:R3"/>
  </mergeCells>
  <conditionalFormatting sqref="AB12">
    <cfRule type="cellIs" priority="4" dxfId="96" operator="lessThan">
      <formula>0.1</formula>
    </cfRule>
  </conditionalFormatting>
  <conditionalFormatting sqref="AB16">
    <cfRule type="cellIs" priority="3" dxfId="96" operator="lessThan">
      <formula>0.4</formula>
    </cfRule>
  </conditionalFormatting>
  <conditionalFormatting sqref="AB23">
    <cfRule type="cellIs" priority="2" dxfId="96" operator="greaterThan">
      <formula>$J$6</formula>
    </cfRule>
  </conditionalFormatting>
  <conditionalFormatting sqref="F12">
    <cfRule type="cellIs" priority="1" dxfId="96" operator="greaterThan">
      <formula>90</formula>
    </cfRule>
  </conditionalFormatting>
  <conditionalFormatting sqref="A15:E15 J15:M15">
    <cfRule type="expression" priority="5" dxfId="97" stopIfTrue="1">
      <formula>$N$14="NO"</formula>
    </cfRule>
  </conditionalFormatting>
  <conditionalFormatting sqref="F13:I13 N11:R11">
    <cfRule type="cellIs" priority="6" dxfId="98" operator="greaterThan" stopIfTrue="1">
      <formula>200</formula>
    </cfRule>
  </conditionalFormatting>
  <conditionalFormatting sqref="N13:R13">
    <cfRule type="cellIs" priority="7" dxfId="98" operator="greaterThan" stopIfTrue="1">
      <formula>2</formula>
    </cfRule>
  </conditionalFormatting>
  <conditionalFormatting sqref="N14:R14">
    <cfRule type="cellIs" priority="8" dxfId="98" operator="equal" stopIfTrue="1">
      <formula>"YES"</formula>
    </cfRule>
  </conditionalFormatting>
  <conditionalFormatting sqref="H15:I15">
    <cfRule type="expression" priority="9" dxfId="97" stopIfTrue="1">
      <formula>$N$14="NO"</formula>
    </cfRule>
    <cfRule type="cellIs" priority="10" dxfId="98" operator="greaterThan" stopIfTrue="1">
      <formula>5</formula>
    </cfRule>
  </conditionalFormatting>
  <conditionalFormatting sqref="F15:G15">
    <cfRule type="expression" priority="11" dxfId="97" stopIfTrue="1">
      <formula>$N$14="NO"</formula>
    </cfRule>
    <cfRule type="cellIs" priority="12" dxfId="98" operator="greaterThan" stopIfTrue="1">
      <formula>50</formula>
    </cfRule>
  </conditionalFormatting>
  <conditionalFormatting sqref="N15:R15">
    <cfRule type="expression" priority="13" dxfId="97" stopIfTrue="1">
      <formula>$N$14="NO"</formula>
    </cfRule>
    <cfRule type="cellIs" priority="14" dxfId="98" operator="equal" stopIfTrue="1">
      <formula>"YES"</formula>
    </cfRule>
  </conditionalFormatting>
  <conditionalFormatting sqref="L18:R18">
    <cfRule type="cellIs" priority="15" dxfId="98" operator="lessThan" stopIfTrue="1">
      <formula>1</formula>
    </cfRule>
  </conditionalFormatting>
  <conditionalFormatting sqref="L20 O20">
    <cfRule type="cellIs" priority="16" dxfId="98" operator="equal" stopIfTrue="1">
      <formula>"-"</formula>
    </cfRule>
  </conditionalFormatting>
  <dataValidations count="25">
    <dataValidation type="list" allowBlank="1" sqref="O24:R24">
      <formula1>$Z$25:$Z$26</formula1>
    </dataValidation>
    <dataValidation allowBlank="1" showInputMessage="1" sqref="O22:R22"/>
    <dataValidation type="list" allowBlank="1" sqref="Q25:R25">
      <formula1>$AB$22:$AC$22</formula1>
    </dataValidation>
    <dataValidation type="list" allowBlank="1" showErrorMessage="1" errorTitle="SHAPOTOOLS" error="ENTERVALUE BETWEEN 1 AND 50" sqref="Q23:R23">
      <formula1>$AC$14:$AD$14</formula1>
    </dataValidation>
    <dataValidation type="decimal" showErrorMessage="1" errorTitle="SHAPOTOOLS" error="ENTER VALUE BETWEEN -1 TO 500" sqref="J6">
      <formula1>-1</formula1>
      <formula2>500</formula2>
    </dataValidation>
    <dataValidation type="whole" showInputMessage="1" showErrorMessage="1" sqref="U26">
      <formula1>0</formula1>
      <formula2>10</formula2>
    </dataValidation>
    <dataValidation type="decimal" allowBlank="1" showErrorMessage="1" errorTitle="SHAPOTOOLS" error="ENTER VALUE BETWEEN 0 TO 50" sqref="D33:R33">
      <formula1>0</formula1>
      <formula2>50</formula2>
    </dataValidation>
    <dataValidation type="decimal" showErrorMessage="1" errorTitle="SHAPOTOOLS" error="ENTER VALUE BETWEEN 20 TO 300" sqref="D8">
      <formula1>20</formula1>
      <formula2>300</formula2>
    </dataValidation>
    <dataValidation type="decimal" showErrorMessage="1" errorTitle="SHAPOTOOLS" error="ENTER VALUE BETWEEN 0.1 TO 20000" sqref="D6">
      <formula1>0.1</formula1>
      <formula2>20000</formula2>
    </dataValidation>
    <dataValidation type="list" allowBlank="1" showInputMessage="1" errorTitle="SHAPOTOOLS" error="ENTER VALUE BETWEEN 0.1 TO 100" sqref="N25">
      <formula1>$AB$20:$AC$20</formula1>
    </dataValidation>
    <dataValidation type="decimal" showErrorMessage="1" errorTitle="SHAPOTOOLS" error="ENTER VALUE BETWEEN 0 TO 500" sqref="L18:R18">
      <formula1>0</formula1>
      <formula2>500</formula2>
    </dataValidation>
    <dataValidation type="decimal" showErrorMessage="1" errorTitle="SHAPOTOOLS" error="ENTER VALUE BETWEEN 0.2 TO 23" sqref="N13">
      <formula1>0.2</formula1>
      <formula2>23</formula2>
    </dataValidation>
    <dataValidation type="decimal" showErrorMessage="1" errorTitle="SHAPOTOOLS" error="ENTER VALUE BETWEEN -50 TO +500" sqref="N12:R12 F12">
      <formula1>-50</formula1>
      <formula2>500</formula2>
    </dataValidation>
    <dataValidation type="decimal" showErrorMessage="1" errorTitle="SHAPOTOOLS" error="ENTER VALUE BETWEEN 0 TO 1000000" sqref="N11:R11">
      <formula1>0</formula1>
      <formula2>100000</formula2>
    </dataValidation>
    <dataValidation type="decimal" showErrorMessage="1" errorTitle="SHAPOTOOLS" error="ENTER VALUE BETWEEN 0 TO 100" sqref="H15:I15">
      <formula1>0</formula1>
      <formula2>100</formula2>
    </dataValidation>
    <dataValidation type="decimal" operator="greaterThanOrEqual" showErrorMessage="1" errorTitle="SHAPOTOOLS" error="ENTER VALUE BETWEEN 0 TO 5000" sqref="F15:G15">
      <formula1>0</formula1>
    </dataValidation>
    <dataValidation type="decimal" showErrorMessage="1" errorTitle="SHAPOTOOLS" error="ENTER VALUE BETWEEN 0 TO 5000" sqref="F13:I13">
      <formula1>0</formula1>
      <formula2>5000</formula2>
    </dataValidation>
    <dataValidation type="list" showErrorMessage="1" errorTitle="SHAPOTOOLS" error="PLEASE SELECT PIPE NB" sqref="L21 O21">
      <formula1>"15,20,25,40,50,65,80,100,125,150"</formula1>
    </dataValidation>
    <dataValidation type="list" showErrorMessage="1" errorTitle="SHAPOTOOLS" error="ENTER YES OR NO" sqref="O23 L22 N14">
      <formula1>"YES,NO"</formula1>
    </dataValidation>
    <dataValidation type="list" showErrorMessage="1" errorTitle="SHAPOTOOLS" error="ENTER POSITIVE OR NEGATIVE" sqref="L20 O20">
      <formula1>"+,-"</formula1>
    </dataValidation>
    <dataValidation type="list" allowBlank="1" showErrorMessage="1" errorTitle="SHAPOTOOLS" error="ENTER YES OR NO" sqref="N15:R15 L25:M25 O25">
      <formula1>"YES,NO"</formula1>
    </dataValidation>
    <dataValidation type="decimal" showErrorMessage="1" errorTitle="SHAPOTOOLS" error="ENTER VALUE HIGHER THAN 0 AND LESS THAN TOTAL DISCHARGE PIPE LENGTH ABOVE" sqref="P20">
      <formula1>0</formula1>
      <formula2>O19</formula2>
    </dataValidation>
    <dataValidation type="decimal" showErrorMessage="1" errorTitle="SHAPOTOOLS" error="ENTER VALUE HIGHER THAN 0 AND LESS THAN TOTAL SUCTION  PIPE LENGTH ABOVE" sqref="M20">
      <formula1>0</formula1>
      <formula2>L19</formula2>
    </dataValidation>
    <dataValidation type="decimal" showErrorMessage="1" errorTitle="SHAPOTOOLS" error="ENTER VALUE GREATER THAN DISCHARGE STATIC HEAD BELOW &amp; LESS THAN 10000" sqref="O19">
      <formula1>P20</formula1>
      <formula2>10000</formula2>
    </dataValidation>
    <dataValidation type="decimal" showErrorMessage="1" errorTitle="SHAPOTOOLS" error="ENTER VALUE GREATER THAN SUCTION STATIC HEAD BELOW AND LESS THAN 50" sqref="L19">
      <formula1>M20</formula1>
      <formula2>50</formula2>
    </dataValidation>
  </dataValidations>
  <printOptions/>
  <pageMargins left="0.7" right="0.7" top="0.75" bottom="0.75" header="0.3" footer="0.3"/>
  <pageSetup fitToHeight="1" fitToWidth="1" horizontalDpi="600" verticalDpi="600" orientation="portrait" paperSize="9" scale="69" r:id="rId5"/>
  <drawing r:id="rId4"/>
  <legacyDrawing r:id="rId3"/>
  <oleObjects>
    <oleObject progId="MSWordArt.2" shapeId="18181798" r:id="rId1"/>
    <oleObject progId="HarvardFX" shapeId="1818179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Shapoor Bhavnagri</dc:creator>
  <cp:keywords/>
  <dc:description/>
  <cp:lastModifiedBy>Shapoor Bhavnagri</cp:lastModifiedBy>
  <cp:lastPrinted>2014-06-03T17:04:27Z</cp:lastPrinted>
  <dcterms:created xsi:type="dcterms:W3CDTF">2014-06-01T05:22:54Z</dcterms:created>
  <dcterms:modified xsi:type="dcterms:W3CDTF">2022-08-09T17:25:35Z</dcterms:modified>
  <cp:category/>
  <cp:version/>
  <cp:contentType/>
  <cp:contentStatus/>
</cp:coreProperties>
</file>